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Assumptions" sheetId="2" state="visible" r:id="rId4"/>
    <sheet name="People cost" sheetId="3" state="visible" r:id="rId5"/>
    <sheet name="HR function" sheetId="4" state="visible" r:id="rId6"/>
    <sheet name="Summary" sheetId="5" state="visible" r:id="rId7"/>
    <sheet name="Sensitivity" sheetId="6" state="visible" r:id="rId8"/>
    <sheet name="Checks" sheetId="7" state="visible" r:id="rId9"/>
  </sheets>
  <definedNames>
    <definedName function="false" hidden="false" localSheetId="1" name="_xlnm.Print_Area" vbProcedure="false">Assumptions!$A$1:$G$73</definedName>
    <definedName function="false" hidden="false" localSheetId="1" name="_xlnm.Print_Titles" vbProcedure="false">Assumptions!$1:$3</definedName>
    <definedName function="false" hidden="false" localSheetId="6" name="_xlnm.Print_Area" vbProcedure="false">Checks!$A$1:$E$26</definedName>
    <definedName function="false" hidden="false" localSheetId="6" name="_xlnm.Print_Titles" vbProcedure="false">Checks!$6:$6</definedName>
    <definedName function="false" hidden="false" localSheetId="3" name="_xlnm.Print_Area" vbProcedure="false">'HR function'!$A$1:$J$17</definedName>
    <definedName function="false" hidden="false" localSheetId="3" name="_xlnm.Print_Titles" vbProcedure="false">'HR function'!$4:$4</definedName>
    <definedName function="false" hidden="false" localSheetId="2" name="_xlnm.Print_Area" vbProcedure="false">'People cost'!$A$1:$M$17</definedName>
    <definedName function="false" hidden="false" localSheetId="2" name="_xlnm.Print_Titles" vbProcedure="false">'People cost'!$4:$4</definedName>
    <definedName function="false" hidden="false" localSheetId="0" name="_xlnm.Print_Area" vbProcedure="false">'Read me'!$A$1:$B$46</definedName>
    <definedName function="false" hidden="false" localSheetId="5" name="_xlnm.Print_Area" vbProcedure="false">Sensitivity!$A$1:$K$37</definedName>
    <definedName function="false" hidden="false" localSheetId="4" name="_xlnm.Print_Area" vbProcedure="false">Summary!$A$1:$G$62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<sst xmlns="http://schemas.openxmlformats.org/spreadsheetml/2006/main" count="523" uniqueCount="409">
  <si>
    <t xml:space="preserve">HR Budget Template 2027</t>
  </si>
  <si>
    <t xml:space="preserve">Template from HR Riant, hrriant.com</t>
  </si>
  <si>
    <t xml:space="preserve">Planning aid only. This workbook is not tax, legal, accounting or financial advice. Confirm statutory rates, benefit limits and contract terms with your payroll provider or advisers before you commit a budget.</t>
  </si>
  <si>
    <t xml:space="preserve">Example values: the blue cells hold invented figures for a 120-person company so you can see the formulas work. They are not benchmarks. Replace every blue cell with your own numbers, then delete this note.</t>
  </si>
  <si>
    <t xml:space="preserve">What the workbook does</t>
  </si>
  <si>
    <t xml:space="preserve">Budget</t>
  </si>
  <si>
    <t xml:space="preserve">It builds a January to December 2027 budget for the people you employ (base pay, merit and promotion increases, employer payroll taxes and benefits) and for the HR function (recruiting, learning, HR technology, other). It compares the result with your 2026 actuals, shows totals by quarter and cost per head, runs Low, Base and High scenarios from one set of inputs, and tests which inputs move the total most.</t>
  </si>
  <si>
    <t xml:space="preserve">How to fill it, in this order</t>
  </si>
  <si>
    <t xml:space="preserve">1. Setup</t>
  </si>
  <si>
    <t xml:space="preserve">Assumptions section 1: type a currency label, keep the scenario on Base to start, and enter headcount at December 31, 2026.</t>
  </si>
  <si>
    <t xml:space="preserve">2. Headcount</t>
  </si>
  <si>
    <t xml:space="preserve">Assumptions section 7: enter planned average headcount for each month of 2027 from your workforce plan.</t>
  </si>
  <si>
    <t xml:space="preserve">3. Pay and employer costs</t>
  </si>
  <si>
    <t xml:space="preserve">Assumptions section 3: average base pay before any 2027 increase, merit-eligible share, effective months, employer payroll tax rate, pay-linked benefits, 2026 benefits cost per head, and the HR spend inputs. Use your payroll register and 2026 invoices, not benchmarks.</t>
  </si>
  <si>
    <t xml:space="preserve">4. Scenarios</t>
  </si>
  <si>
    <t xml:space="preserve">Assumptions section 2: enter a Low, Base and High value for merit pool, promotion pool, benefits cost trend, hires, cost per hire and contingency.</t>
  </si>
  <si>
    <t xml:space="preserve">5. Hiring</t>
  </si>
  <si>
    <t xml:space="preserve">Assumptions section 4: say when the hires start. The four shares must total 100%.</t>
  </si>
  <si>
    <t xml:space="preserve">6. Optional blocks</t>
  </si>
  <si>
    <t xml:space="preserve">Section 5 adds the US Social Security wage base step-up (leave the count at 0 outside the US). Section 6 compares the model with your payroll register.</t>
  </si>
  <si>
    <t xml:space="preserve">7. 2026 actuals</t>
  </si>
  <si>
    <t xml:space="preserve">Summary: type 2026 actuals in the blue cells of column C and the 2026 average headcount in section C. Fill every line from base pay to other HR costs (type 0 for a line with no cost; contingency may stay blank), or leave all of them blank. A partial set would be compared with the full 2027 total, so the Summary shows n/a for the totals and the bridge until the set is complete, and Checks flags it.</t>
  </si>
  <si>
    <t xml:space="preserve">8. Read the result</t>
  </si>
  <si>
    <t xml:space="preserve">Summary shows the budget, quarters, per-head cost, the bridge from 2026 and the three scenarios. Sensitivity shows which inputs carry the most money.</t>
  </si>
  <si>
    <t xml:space="preserve">9. Checks</t>
  </si>
  <si>
    <t xml:space="preserve">No row on the Checks sheet should read CHECK before you share a number. The Summary shows the overall result at the top.</t>
  </si>
  <si>
    <t xml:space="preserve">Color legend</t>
  </si>
  <si>
    <t xml:space="preserve">Blue on yellow</t>
  </si>
  <si>
    <t xml:space="preserve">Input cell: type here.</t>
  </si>
  <si>
    <t xml:space="preserve">Black</t>
  </si>
  <si>
    <t xml:space="preserve">Formula: do not overwrite.</t>
  </si>
  <si>
    <t xml:space="preserve">OK</t>
  </si>
  <si>
    <t xml:space="preserve">Check passed.</t>
  </si>
  <si>
    <t xml:space="preserve">CHECK</t>
  </si>
  <si>
    <t xml:space="preserve">Check failed: a total does not tie or an input is out of range.</t>
  </si>
  <si>
    <t xml:space="preserve">NOTE</t>
  </si>
  <si>
    <t xml:space="preserve">Optional input not entered. Not a failure.</t>
  </si>
  <si>
    <t xml:space="preserve">Red cell</t>
  </si>
  <si>
    <t xml:space="preserve">A number cell that holds text. Replace it with a number.</t>
  </si>
  <si>
    <t xml:space="preserve">Sheets</t>
  </si>
  <si>
    <t xml:space="preserve">Assumptions</t>
  </si>
  <si>
    <t xml:space="preserve">All inputs, in seven numbered sections.</t>
  </si>
  <si>
    <t xml:space="preserve">People cost</t>
  </si>
  <si>
    <t xml:space="preserve">Monthly base pay, merit, promotions, employer payroll taxes, benefits.</t>
  </si>
  <si>
    <t xml:space="preserve">HR function</t>
  </si>
  <si>
    <t xml:space="preserve">Monthly recruiting, learning, HR technology and other HR costs.</t>
  </si>
  <si>
    <t xml:space="preserve">Summary</t>
  </si>
  <si>
    <t xml:space="preserve">Budget by line against 2026 actuals, totals by quarter, cost per head, bridge from 2026, three scenarios.</t>
  </si>
  <si>
    <t xml:space="preserve">Sensitivity</t>
  </si>
  <si>
    <t xml:space="preserve">Total recomputed with one input changed at a time, with a rank for each input by effect, and the cost of one more percentage point.</t>
  </si>
  <si>
    <t xml:space="preserve">Checks</t>
  </si>
  <si>
    <t xml:space="preserve">Input and tie-out checks with a flag that shows on the Summary.</t>
  </si>
  <si>
    <t xml:space="preserve">How the model works: read before you defend a number</t>
  </si>
  <si>
    <t xml:space="preserve">Base pay</t>
  </si>
  <si>
    <t xml:space="preserve">Average headcount times average base pay, divided by 12, month by month. Merit applies from its effective month to the eligible share. Promotions apply from their effective month to all pay. New hires are paid the average from their start month. Pay for time off, such as vacation, holiday and sick leave, stays inside base pay: it is not a separate benefit line.</t>
  </si>
  <si>
    <t xml:space="preserve">Employer taxes</t>
  </si>
  <si>
    <t xml:space="preserve">A percentage of base pay including increases, plus the optional Social Security wage base step-up spread evenly over 12 months.</t>
  </si>
  <si>
    <t xml:space="preserve">Benefits</t>
  </si>
  <si>
    <t xml:space="preserve">Pay-linked benefits are a percentage of base pay. Per-head benefits start from the 2026 cost per head and grow by the benefits cost trend. They do not move with pay.</t>
  </si>
  <si>
    <t xml:space="preserve">Recruiting is hires times cost per hire, booked in the quarter the hire starts. Learning is training per head. HR technology is a fixed fee plus a fee per head per month.</t>
  </si>
  <si>
    <t xml:space="preserve">Contingency</t>
  </si>
  <si>
    <t xml:space="preserve">A percentage of the lines it applies to, shown on its own line. Assumptions section 3 sets whether base pay is included.</t>
  </si>
  <si>
    <t xml:space="preserve">Not modeled</t>
  </si>
  <si>
    <t xml:space="preserve">Bonuses and commissions, equity, overtime, severance, relocation, currency effects, and different tax rules by country. Add one-off items to Other HR function costs, and use one file per country or legal entity.</t>
  </si>
  <si>
    <t xml:space="preserve">Version</t>
  </si>
  <si>
    <t xml:space="preserve">1.0, built October 2026 for the 2027 budget year. Template from HR Riant, hrriant.com</t>
  </si>
  <si>
    <t xml:space="preserve">EXAMPLE VALUES: every blue cell holds an invented figure for a 120-person company. They are not benchmarks. Replace them with your own numbers, then delete this note.</t>
  </si>
  <si>
    <t xml:space="preserve">Blue text on a yellow cell: type here. Black text: formula, do not overwrite. Blank number cells count as zero; the Checks sheet flags them. A number cell that holds text turns red.</t>
  </si>
  <si>
    <t xml:space="preserve">Currency (label only)</t>
  </si>
  <si>
    <t xml:space="preserve">text</t>
  </si>
  <si>
    <t xml:space="preserve">USD</t>
  </si>
  <si>
    <t xml:space="preserve">Shown in sheet headings. The workbook does no currency conversion: use one currency per file.</t>
  </si>
  <si>
    <t xml:space="preserve">Scenario switch</t>
  </si>
  <si>
    <t xml:space="preserve">Low / Base / High</t>
  </si>
  <si>
    <t xml:space="preserve">Base</t>
  </si>
  <si>
    <t xml:space="preserve">Selects the column of section 2 that feeds the model. Summary section E shows all three scenarios side by side.</t>
  </si>
  <si>
    <t xml:space="preserve">Headcount at December 31, 2026</t>
  </si>
  <si>
    <t xml:space="preserve">employees</t>
  </si>
  <si>
    <t xml:space="preserve">Opening headcount. Used for the hires check and the payroll tie-out.</t>
  </si>
  <si>
    <t xml:space="preserve">Scenario number in use (1 Low, 2 Base, 3 High)</t>
  </si>
  <si>
    <t xml:space="preserve">formula</t>
  </si>
  <si>
    <t xml:space="preserve">Any other text in C7 falls back to Base and the Checks sheet flags it.</t>
  </si>
  <si>
    <t xml:space="preserve">2. Scenario drivers: type a value in each column</t>
  </si>
  <si>
    <t xml:space="preserve">Driver</t>
  </si>
  <si>
    <t xml:space="preserve">Unit</t>
  </si>
  <si>
    <t xml:space="preserve">Low</t>
  </si>
  <si>
    <t xml:space="preserve">High</t>
  </si>
  <si>
    <t xml:space="preserve">Used in model</t>
  </si>
  <si>
    <t xml:space="preserve">Notes</t>
  </si>
  <si>
    <t xml:space="preserve">Merit pool (share of eligible base pay)</t>
  </si>
  <si>
    <t xml:space="preserve">% of pay</t>
  </si>
  <si>
    <t xml:space="preserve">Your approved or proposed merit budget. Published pay budget forecasts are on the HR Riant salary increase budgets page.</t>
  </si>
  <si>
    <t xml:space="preserve">Promotion pool (share of base pay)</t>
  </si>
  <si>
    <t xml:space="preserve">Cost of promotion increases, as a share of all base pay, from the promotion effective month.</t>
  </si>
  <si>
    <t xml:space="preserve">Benefits cost trend (per-head benefits, year over year)</t>
  </si>
  <si>
    <t xml:space="preserve">% per year</t>
  </si>
  <si>
    <t xml:space="preserve">Raises the 2026 per-head benefits cost in section 3. Use your carrier renewal or broker projection.</t>
  </si>
  <si>
    <t xml:space="preserve">Hires planned in 2027 (new roles plus backfills)</t>
  </si>
  <si>
    <t xml:space="preserve">hires</t>
  </si>
  <si>
    <t xml:space="preserve">From your recruiting plan. Must cover headcount growth: see the Checks sheet.</t>
  </si>
  <si>
    <t xml:space="preserve">Cost per hire (external spend per hire)</t>
  </si>
  <si>
    <t xml:space="preserve">currency</t>
  </si>
  <si>
    <t xml:space="preserve">Agency fees, job advertising and assessments. Use 2026 actuals.</t>
  </si>
  <si>
    <t xml:space="preserve">Contingency (share of the lines it applies to)</t>
  </si>
  <si>
    <t xml:space="preserve">% of lines</t>
  </si>
  <si>
    <t xml:space="preserve">Shown on its own line. Section 3 sets whether base pay is included.</t>
  </si>
  <si>
    <t xml:space="preserve">3. Pay, employer cost and HR spend inputs</t>
  </si>
  <si>
    <t xml:space="preserve">Input</t>
  </si>
  <si>
    <t xml:space="preserve">Value</t>
  </si>
  <si>
    <t xml:space="preserve">Average base pay per head (annual, before any 2027 increase)</t>
  </si>
  <si>
    <t xml:space="preserve">currency per year</t>
  </si>
  <si>
    <t xml:space="preserve">From the payroll register: annual base payroll divided by headcount. Exclude bonuses and overtime.</t>
  </si>
  <si>
    <t xml:space="preserve">Share of payroll eligible for merit</t>
  </si>
  <si>
    <t xml:space="preserve">People hired late in the year or on leave are often outside the cycle. Use 100% if everyone is eligible.</t>
  </si>
  <si>
    <t xml:space="preserve">Merit effective month (1 = January)</t>
  </si>
  <si>
    <t xml:space="preserve">month number</t>
  </si>
  <si>
    <t xml:space="preserve">Merit applies from this month to December.</t>
  </si>
  <si>
    <t xml:space="preserve">Promotion effective month (1 = January)</t>
  </si>
  <si>
    <t xml:space="preserve">Promotion increases apply from this month to December.</t>
  </si>
  <si>
    <t xml:space="preserve">Employer payroll taxes (share of base pay including increases)</t>
  </si>
  <si>
    <t xml:space="preserve">Your effective rate: employer payroll taxes paid last year divided by base pay. Statutory rates are a start, not the answer.</t>
  </si>
  <si>
    <t xml:space="preserve">Pay-linked benefits (share of base pay including increases)</t>
  </si>
  <si>
    <t xml:space="preserve">Retirement match, life and disability cover and other costs that move with pay.</t>
  </si>
  <si>
    <t xml:space="preserve">Per-head benefits cost in 2026 (annual)</t>
  </si>
  <si>
    <t xml:space="preserve">currency per head</t>
  </si>
  <si>
    <t xml:space="preserve">Employer share of medical, dental, vision and similar plans per head. The benefits cost trend in section 2 raises it.</t>
  </si>
  <si>
    <t xml:space="preserve">Training and development per head (annual)</t>
  </si>
  <si>
    <t xml:space="preserve">Total learning spend divided by average headcount.</t>
  </si>
  <si>
    <t xml:space="preserve">HR technology: fixed annual cost</t>
  </si>
  <si>
    <t xml:space="preserve">HRIS, applicant tracking, payroll platform and other licenses charged at a fixed fee.</t>
  </si>
  <si>
    <t xml:space="preserve">HR technology: fee per head per month</t>
  </si>
  <si>
    <t xml:space="preserve">Per employee per month fees.</t>
  </si>
  <si>
    <t xml:space="preserve">Other HR function costs (annual)</t>
  </si>
  <si>
    <t xml:space="preserve">Surveys, memberships, advisers, events, legal fees and one-off HR projects.</t>
  </si>
  <si>
    <t xml:space="preserve">Contingency applies to</t>
  </si>
  <si>
    <t xml:space="preserve">choose from list</t>
  </si>
  <si>
    <t xml:space="preserve">All except base pay</t>
  </si>
  <si>
    <t xml:space="preserve">'All except base pay' puts the buffer on taxes, benefits, hiring and HR spend, so base pay stays traceable to the payroll register. 'All cost lines' adds base pay to the buffer.</t>
  </si>
  <si>
    <t xml:space="preserve">4. When hires start: share of the year's hires by quarter</t>
  </si>
  <si>
    <t xml:space="preserve">Quarter</t>
  </si>
  <si>
    <t xml:space="preserve">Share</t>
  </si>
  <si>
    <t xml:space="preserve">Hires starting in Q1</t>
  </si>
  <si>
    <t xml:space="preserve">% of hires</t>
  </si>
  <si>
    <t xml:space="preserve">Recruiting spend is booked in the quarter the hire starts, split evenly over its three months.</t>
  </si>
  <si>
    <t xml:space="preserve">Hires starting in Q2</t>
  </si>
  <si>
    <t xml:space="preserve">Hires starting in Q3</t>
  </si>
  <si>
    <t xml:space="preserve">Hires starting in Q4</t>
  </si>
  <si>
    <t xml:space="preserve">Total (must be 100%)</t>
  </si>
  <si>
    <t xml:space="preserve">5. Optional: US Social Security wage base step-up (leave the count at 0 outside the US)</t>
  </si>
  <si>
    <t xml:space="preserve">Employees expected to earn at least the 2027 wage base</t>
  </si>
  <si>
    <t xml:space="preserve">Count the people whose 2027 pay will reach the new base. Employer Social Security tax stops at the base for each person.</t>
  </si>
  <si>
    <t xml:space="preserve">Employer Social Security rate</t>
  </si>
  <si>
    <t xml:space="preserve">% of wages</t>
  </si>
  <si>
    <t xml:space="preserve">Statutory employer rate for Social Security (OASDI). Medicare has no wage base and sits in your payroll tax rate.</t>
  </si>
  <si>
    <t xml:space="preserve">Wage base, 2026</t>
  </si>
  <si>
    <t xml:space="preserve">As published by the Social Security Administration. Confirm against the current notice.</t>
  </si>
  <si>
    <t xml:space="preserve">Wage base, 2027</t>
  </si>
  <si>
    <t xml:space="preserve">As published by the Social Security Administration in the Federal Register on October 26, 2026 (91 FR 67380).</t>
  </si>
  <si>
    <t xml:space="preserve">Extra employer tax per such employee</t>
  </si>
  <si>
    <t xml:space="preserve">Rate times the increase in the wage base.</t>
  </si>
  <si>
    <t xml:space="preserve">Total extra employer tax in 2027</t>
  </si>
  <si>
    <t xml:space="preserve">Added to employer payroll taxes and spread evenly over the 12 months (a simplification).</t>
  </si>
  <si>
    <t xml:space="preserve">6. Optional: payroll tie-out</t>
  </si>
  <si>
    <t xml:space="preserve">Base payroll for the latest month, from the payroll register</t>
  </si>
  <si>
    <t xml:space="preserve">currency per month</t>
  </si>
  <si>
    <t xml:space="preserve">Leave blank to skip. The Checks sheet compares it with opening headcount times average base pay divided by 12.</t>
  </si>
  <si>
    <t xml:space="preserve">Tolerance</t>
  </si>
  <si>
    <t xml:space="preserve">% difference</t>
  </si>
  <si>
    <t xml:space="preserve">Largest gap you accept between the model and the register.</t>
  </si>
  <si>
    <t xml:space="preserve">7. Average headcount by month, 2027</t>
  </si>
  <si>
    <t xml:space="preserve">Month</t>
  </si>
  <si>
    <t xml:space="preserve">Month no.</t>
  </si>
  <si>
    <t xml:space="preserve">Average headcount</t>
  </si>
  <si>
    <t xml:space="preserve">Jan 2027</t>
  </si>
  <si>
    <t xml:space="preserve">Average paid headcount in the month, from your workforce plan. Include new hires from their start month.</t>
  </si>
  <si>
    <t xml:space="preserve">Feb 2027</t>
  </si>
  <si>
    <t xml:space="preserve">Mar 2027</t>
  </si>
  <si>
    <t xml:space="preserve">Apr 2027</t>
  </si>
  <si>
    <t xml:space="preserve">May 2027</t>
  </si>
  <si>
    <t xml:space="preserve">Jun 2027</t>
  </si>
  <si>
    <t xml:space="preserve">Jul 2027</t>
  </si>
  <si>
    <t xml:space="preserve">Aug 2027</t>
  </si>
  <si>
    <t xml:space="preserve">Sep 2027</t>
  </si>
  <si>
    <t xml:space="preserve">Oct 2027</t>
  </si>
  <si>
    <t xml:space="preserve">Nov 2027</t>
  </si>
  <si>
    <t xml:space="preserve">Dec 2027</t>
  </si>
  <si>
    <t xml:space="preserve">Head-months in 2027 (sum)</t>
  </si>
  <si>
    <t xml:space="preserve">Average headcount in 2027</t>
  </si>
  <si>
    <t xml:space="preserve">Headcount growth in 2027 (December less opening)</t>
  </si>
  <si>
    <t xml:space="preserve">People cost, 2027</t>
  </si>
  <si>
    <t xml:space="preserve">All cells on this sheet are formulas. Change inputs on the Assumptions sheet.</t>
  </si>
  <si>
    <t xml:space="preserve">Base pay before 2027 increases</t>
  </si>
  <si>
    <t xml:space="preserve">Merit</t>
  </si>
  <si>
    <t xml:space="preserve">Promotions</t>
  </si>
  <si>
    <t xml:space="preserve">Base pay including increases</t>
  </si>
  <si>
    <t xml:space="preserve">Employer payroll taxes</t>
  </si>
  <si>
    <t xml:space="preserve">Wage base step-up (US, optional)</t>
  </si>
  <si>
    <t xml:space="preserve">Pay-linked benefits</t>
  </si>
  <si>
    <t xml:space="preserve">Per-head benefits</t>
  </si>
  <si>
    <t xml:space="preserve">Total people cost</t>
  </si>
  <si>
    <t xml:space="preserve">Year (headcount: average)</t>
  </si>
  <si>
    <t xml:space="preserve">HR function spend, 2027</t>
  </si>
  <si>
    <t xml:space="preserve">All cells on this sheet are formulas. HR team salaries sit in People cost (they are part of headcount), not here.</t>
  </si>
  <si>
    <t xml:space="preserve">Hires starting</t>
  </si>
  <si>
    <t xml:space="preserve">Recruiting</t>
  </si>
  <si>
    <t xml:space="preserve">Learning</t>
  </si>
  <si>
    <t xml:space="preserve">HR technology</t>
  </si>
  <si>
    <t xml:space="preserve">Other HR costs</t>
  </si>
  <si>
    <t xml:space="preserve">Total HR function</t>
  </si>
  <si>
    <t xml:space="preserve">Summary: HR budget 2027</t>
  </si>
  <si>
    <t xml:space="preserve">A. Budget by line: 2027 versus 2026 actual</t>
  </si>
  <si>
    <t xml:space="preserve">Line</t>
  </si>
  <si>
    <t xml:space="preserve">2027 budget</t>
  </si>
  <si>
    <t xml:space="preserve">2026 actual (type)</t>
  </si>
  <si>
    <t xml:space="preserve">Change</t>
  </si>
  <si>
    <t xml:space="preserve">Change %</t>
  </si>
  <si>
    <t xml:space="preserve">Share of 2027 total</t>
  </si>
  <si>
    <t xml:space="preserve">2027 per head</t>
  </si>
  <si>
    <t xml:space="preserve">Base pay including merit and promotions</t>
  </si>
  <si>
    <t xml:space="preserve">Employer payroll taxes (including any wage base step-up)</t>
  </si>
  <si>
    <t xml:space="preserve">Benefits (pay-linked and per head)</t>
  </si>
  <si>
    <t xml:space="preserve">People cost subtotal</t>
  </si>
  <si>
    <t xml:space="preserve">Other HR function costs</t>
  </si>
  <si>
    <t xml:space="preserve">HR function subtotal</t>
  </si>
  <si>
    <t xml:space="preserve">Total budget 2027</t>
  </si>
  <si>
    <t xml:space="preserve">Memo: how the 2027 increases flow into 2028</t>
  </si>
  <si>
    <t xml:space="preserve">Merit cost in 2027 (base pay only, before taxes and benefits)</t>
  </si>
  <si>
    <t xml:space="preserve">Promotion cost in 2027 (base pay only)</t>
  </si>
  <si>
    <t xml:space="preserve">The same increases over 12 months at 2027 headcount</t>
  </si>
  <si>
    <t xml:space="preserve">Part of that full-year cost that falls into 2028</t>
  </si>
  <si>
    <t xml:space="preserve">B. Totals by quarter</t>
  </si>
  <si>
    <t xml:space="preserve">Q1</t>
  </si>
  <si>
    <t xml:space="preserve">Q2</t>
  </si>
  <si>
    <t xml:space="preserve">Q3</t>
  </si>
  <si>
    <t xml:space="preserve">Q4</t>
  </si>
  <si>
    <t xml:space="preserve">Year</t>
  </si>
  <si>
    <t xml:space="preserve">Employer payroll taxes (including step-up)</t>
  </si>
  <si>
    <t xml:space="preserve">Total budget</t>
  </si>
  <si>
    <t xml:space="preserve">Total budget per head, in the period</t>
  </si>
  <si>
    <t xml:space="preserve">Share of the year's total</t>
  </si>
  <si>
    <t xml:space="preserve">C. Per-head view and 2026 comparison</t>
  </si>
  <si>
    <t xml:space="preserve">Measure</t>
  </si>
  <si>
    <t xml:space="preserve">2026 actual</t>
  </si>
  <si>
    <t xml:space="preserve">Average headcount (type the 2026 average in the blue cell)</t>
  </si>
  <si>
    <t xml:space="preserve">People cost per head</t>
  </si>
  <si>
    <t xml:space="preserve">HR function cost per head</t>
  </si>
  <si>
    <t xml:space="preserve">Total budget per head (including contingency)</t>
  </si>
  <si>
    <t xml:space="preserve">HR function cost as a share of people cost</t>
  </si>
  <si>
    <t xml:space="preserve">Taxes plus benefits as a share of people cost (BLS comparison)</t>
  </si>
  <si>
    <t xml:space="preserve">D. Where the change comes from (needs a complete set of 2026 actuals and the 2026 average headcount)</t>
  </si>
  <si>
    <t xml:space="preserve">Step</t>
  </si>
  <si>
    <t xml:space="preserve">Amount</t>
  </si>
  <si>
    <t xml:space="preserve">2026 actual total</t>
  </si>
  <si>
    <t xml:space="preserve">Headcount effect: change in average headcount at the 2026 cost per head</t>
  </si>
  <si>
    <t xml:space="preserve">Cost-per-head effect: pay increases, benefits trend, HR spend per head, contingency</t>
  </si>
  <si>
    <t xml:space="preserve">E. All three scenarios side by side (independent of the switch)</t>
  </si>
  <si>
    <t xml:space="preserve">Scenario</t>
  </si>
  <si>
    <t xml:space="preserve">Difference from Base</t>
  </si>
  <si>
    <t xml:space="preserve">Difference %</t>
  </si>
  <si>
    <t xml:space="preserve">Per head</t>
  </si>
  <si>
    <t xml:space="preserve">Scenarios change merit, promotion pool, benefits trend, hires, cost per hire and contingency. All other inputs stay as entered.</t>
  </si>
  <si>
    <t xml:space="preserve">Sensitivity: which inputs move the 2027 total most</t>
  </si>
  <si>
    <t xml:space="preserve">Worked example: each row changes one input, leaves the others as entered, and recomputes the 2027 total with the workbook's own formulas (calculation table at the bottom of this sheet). With the example values this is illustrative, not a benchmark.</t>
  </si>
  <si>
    <t xml:space="preserve">Size of the change tested (relative, applied to each input)</t>
  </si>
  <si>
    <t xml:space="preserve">A 10% change in merit pool of 3.5% means 3.15% and 3.85%. Equal relative changes rank inputs by how much money rides on them, not by how likely they are to move.</t>
  </si>
  <si>
    <t xml:space="preserve">Months to shift the merit effective month</t>
  </si>
  <si>
    <t xml:space="preserve">Later merit month lowers the 2027 cost; the full-year cost carries into 2028 (Summary, memo rows).</t>
  </si>
  <si>
    <t xml:space="preserve">Total budget, this sheet's calculation (live inputs)</t>
  </si>
  <si>
    <t xml:space="preserve">Total budget, Summary sheet</t>
  </si>
  <si>
    <t xml:space="preserve">Difference (should be 0)</t>
  </si>
  <si>
    <t xml:space="preserve">Live value</t>
  </si>
  <si>
    <t xml:space="preserve">Lower value</t>
  </si>
  <si>
    <t xml:space="preserve">Higher value</t>
  </si>
  <si>
    <t xml:space="preserve">Total if lower</t>
  </si>
  <si>
    <t xml:space="preserve">Total if higher</t>
  </si>
  <si>
    <t xml:space="preserve">Change if lower</t>
  </si>
  <si>
    <t xml:space="preserve">Change if higher</t>
  </si>
  <si>
    <t xml:space="preserve">Swing (absolute)</t>
  </si>
  <si>
    <t xml:space="preserve">Swing as % of total</t>
  </si>
  <si>
    <t xml:space="preserve">Rank</t>
  </si>
  <si>
    <t xml:space="preserve">Average base pay per head</t>
  </si>
  <si>
    <t xml:space="preserve">Headcount in every month (hires unchanged)</t>
  </si>
  <si>
    <t xml:space="preserve">Merit pool</t>
  </si>
  <si>
    <t xml:space="preserve">Promotion pool</t>
  </si>
  <si>
    <t xml:space="preserve">Employer payroll tax rate</t>
  </si>
  <si>
    <t xml:space="preserve">Pay-linked benefits rate</t>
  </si>
  <si>
    <t xml:space="preserve">Per-head benefits cost, 2026</t>
  </si>
  <si>
    <t xml:space="preserve">Benefits cost trend</t>
  </si>
  <si>
    <t xml:space="preserve">Hires planned</t>
  </si>
  <si>
    <t xml:space="preserve">Cost per hire</t>
  </si>
  <si>
    <t xml:space="preserve">Training per head</t>
  </si>
  <si>
    <t xml:space="preserve">HR technology, fixed cost</t>
  </si>
  <si>
    <t xml:space="preserve">HR technology, fee per head per month</t>
  </si>
  <si>
    <t xml:space="preserve">Merit effective month (shifted by the months in C5)</t>
  </si>
  <si>
    <t xml:space="preserve">Cost of one more percentage point, or one more hire</t>
  </si>
  <si>
    <t xml:space="preserve">Live value plus 1 point</t>
  </si>
  <si>
    <t xml:space="preserve">Total with the change</t>
  </si>
  <si>
    <t xml:space="preserve">Change vs live total</t>
  </si>
  <si>
    <t xml:space="preserve">One more hire (cost per hire only)</t>
  </si>
  <si>
    <t xml:space="preserve">A hire adds the cost per hire only. Pay and benefits for the new person come from the headcount you enter by month.</t>
  </si>
  <si>
    <t xml:space="preserve">Calculation table (formulas only, do not edit): one row per case, same logic as the monthly sheets</t>
  </si>
  <si>
    <t xml:space="preserve">Case</t>
  </si>
  <si>
    <t xml:space="preserve">Average base pay</t>
  </si>
  <si>
    <t xml:space="preserve">Headcount scale</t>
  </si>
  <si>
    <t xml:space="preserve">Merit-eligible share</t>
  </si>
  <si>
    <t xml:space="preserve">Merit month</t>
  </si>
  <si>
    <t xml:space="preserve">Promotion month</t>
  </si>
  <si>
    <t xml:space="preserve">Payroll tax rate</t>
  </si>
  <si>
    <t xml:space="preserve">Per-head benefits 2026</t>
  </si>
  <si>
    <t xml:space="preserve">Benefits trend</t>
  </si>
  <si>
    <t xml:space="preserve">Hires</t>
  </si>
  <si>
    <t xml:space="preserve">HR tech fixed</t>
  </si>
  <si>
    <t xml:space="preserve">HR tech per head per month</t>
  </si>
  <si>
    <t xml:space="preserve">Base pay excluded from contingency (1 = yes)</t>
  </si>
  <si>
    <t xml:space="preserve">Head-months</t>
  </si>
  <si>
    <t xml:space="preserve">Head-months from merit month</t>
  </si>
  <si>
    <t xml:space="preserve">Head-months from promotion month</t>
  </si>
  <si>
    <t xml:space="preserve">Base pay incl. increases</t>
  </si>
  <si>
    <t xml:space="preserve">Subtotal</t>
  </si>
  <si>
    <t xml:space="preserve">Live inputs (as entered, scenario in use)</t>
  </si>
  <si>
    <t xml:space="preserve">Scenario: Low</t>
  </si>
  <si>
    <t xml:space="preserve">Scenario: Base</t>
  </si>
  <si>
    <t xml:space="preserve">Scenario: High</t>
  </si>
  <si>
    <t xml:space="preserve">Lower: Average base pay per head</t>
  </si>
  <si>
    <t xml:space="preserve">Higher: Average base pay per head</t>
  </si>
  <si>
    <t xml:space="preserve">Lower: Headcount in every month (hires unchanged)</t>
  </si>
  <si>
    <t xml:space="preserve">Higher: Headcount in every month (hires unchanged)</t>
  </si>
  <si>
    <t xml:space="preserve">Lower: Merit pool</t>
  </si>
  <si>
    <t xml:space="preserve">Higher: Merit pool</t>
  </si>
  <si>
    <t xml:space="preserve">Lower: Promotion pool</t>
  </si>
  <si>
    <t xml:space="preserve">Higher: Promotion pool</t>
  </si>
  <si>
    <t xml:space="preserve">Lower: Employer payroll tax rate</t>
  </si>
  <si>
    <t xml:space="preserve">Higher: Employer payroll tax rate</t>
  </si>
  <si>
    <t xml:space="preserve">Lower: Pay-linked benefits rate</t>
  </si>
  <si>
    <t xml:space="preserve">Higher: Pay-linked benefits rate</t>
  </si>
  <si>
    <t xml:space="preserve">Lower: Per-head benefits cost, 2026</t>
  </si>
  <si>
    <t xml:space="preserve">Higher: Per-head benefits cost, 2026</t>
  </si>
  <si>
    <t xml:space="preserve">Lower: Benefits cost trend</t>
  </si>
  <si>
    <t xml:space="preserve">Higher: Benefits cost trend</t>
  </si>
  <si>
    <t xml:space="preserve">Lower: Hires planned</t>
  </si>
  <si>
    <t xml:space="preserve">Higher: Hires planned</t>
  </si>
  <si>
    <t xml:space="preserve">Lower: Cost per hire</t>
  </si>
  <si>
    <t xml:space="preserve">Higher: Cost per hire</t>
  </si>
  <si>
    <t xml:space="preserve">Lower: Training per head</t>
  </si>
  <si>
    <t xml:space="preserve">Higher: Training per head</t>
  </si>
  <si>
    <t xml:space="preserve">Lower: HR technology, fixed cost</t>
  </si>
  <si>
    <t xml:space="preserve">Higher: HR technology, fixed cost</t>
  </si>
  <si>
    <t xml:space="preserve">Lower: HR technology, fee per head per month</t>
  </si>
  <si>
    <t xml:space="preserve">Higher: HR technology, fee per head per month</t>
  </si>
  <si>
    <t xml:space="preserve">Lower: Other HR function costs</t>
  </si>
  <si>
    <t xml:space="preserve">Higher: Other HR function costs</t>
  </si>
  <si>
    <t xml:space="preserve">Lower: Contingency</t>
  </si>
  <si>
    <t xml:space="preserve">Higher: Contingency</t>
  </si>
  <si>
    <t xml:space="preserve">Lower: Merit effective month (shifted by the months in C5)</t>
  </si>
  <si>
    <t xml:space="preserve">Higher: Merit effective month (shifted by the months in C5)</t>
  </si>
  <si>
    <t xml:space="preserve">Plus one point: Merit pool</t>
  </si>
  <si>
    <t xml:space="preserve">Plus one point: Promotion pool</t>
  </si>
  <si>
    <t xml:space="preserve">Plus one point: Benefits cost trend</t>
  </si>
  <si>
    <t xml:space="preserve">Plus one point: Employer payroll tax rate</t>
  </si>
  <si>
    <t xml:space="preserve">Plus one point: Pay-linked benefits rate</t>
  </si>
  <si>
    <t xml:space="preserve">Plus one point: Contingency</t>
  </si>
  <si>
    <t xml:space="preserve">Plus one hire</t>
  </si>
  <si>
    <t xml:space="preserve">No row should read CHECK. CHECK means a total may not tie or an input is out of range or missing: fix it before you share a number. NOTE and INFO are for your attention and do not count as failures.</t>
  </si>
  <si>
    <t xml:space="preserve">Checks failing</t>
  </si>
  <si>
    <t xml:space="preserve">Overall</t>
  </si>
  <si>
    <t xml:space="preserve">#</t>
  </si>
  <si>
    <t xml:space="preserve">Check</t>
  </si>
  <si>
    <t xml:space="preserve">Status</t>
  </si>
  <si>
    <t xml:space="preserve">What to do if it fails</t>
  </si>
  <si>
    <t xml:space="preserve">Scenario switch is Low, Base or High</t>
  </si>
  <si>
    <t xml:space="preserve">Pick a value from the list in Assumptions C7. Until then the model uses Base.</t>
  </si>
  <si>
    <t xml:space="preserve">All required number inputs are filled in (47 cells)</t>
  </si>
  <si>
    <t xml:space="preserve">Type a number, including 0, in every blue cell of Assumptions sections 1 to 4 and 7. A blank cell counts as zero. A cell that holds text instead of a number turns red.</t>
  </si>
  <si>
    <t xml:space="preserve">Contingency scope is one of the two list choices</t>
  </si>
  <si>
    <t xml:space="preserve">Pick from the list in Assumptions C33.</t>
  </si>
  <si>
    <t xml:space="preserve">Average base pay is above zero</t>
  </si>
  <si>
    <t xml:space="preserve">Enter average base pay per head in Assumptions C22.</t>
  </si>
  <si>
    <t xml:space="preserve">Headcounts and cost inputs are zero or more</t>
  </si>
  <si>
    <t xml:space="preserve">Headcount, hires, cost per hire, benefits, training, HR technology, other HR costs and the wage bases cannot be negative.</t>
  </si>
  <si>
    <t xml:space="preserve">Merit and promotion months are whole numbers from 1 to 12</t>
  </si>
  <si>
    <t xml:space="preserve">Use 1 for January up to 12 for December.</t>
  </si>
  <si>
    <t xml:space="preserve">Percentages are between 0% and 100% (benefits trend between -50% and 100%)</t>
  </si>
  <si>
    <t xml:space="preserve">Enter rates as percentages, for example 3.5%, not 3.5. Includes the Social Security rate and the tie-out tolerance; text in either fails.</t>
  </si>
  <si>
    <t xml:space="preserve">Hiring phasing adds to 100%</t>
  </si>
  <si>
    <t xml:space="preserve">Adjust the four quarterly shares in Assumptions section 4 until they total 100%.</t>
  </si>
  <si>
    <t xml:space="preserve">Hires planned in Low, Base and High each cover the headcount growth (implied exits are not negative)</t>
  </si>
  <si>
    <t xml:space="preserve">December headcount less opening headcount is larger than the hires planned in at least one scenario column (usually Low). Raise hires or lower the headcount plan.</t>
  </si>
  <si>
    <t xml:space="preserve">Implied turnover from the hires plan (exits divided by average headcount)</t>
  </si>
  <si>
    <t xml:space="preserve">Compare with your actual 2026 turnover. A gap means hires, exits or the headcount plan needs another look.</t>
  </si>
  <si>
    <t xml:space="preserve">Payroll tie-out: opening headcount times average base pay divided by 12 against the payroll register</t>
  </si>
  <si>
    <t xml:space="preserve">Average base pay or opening headcount does not reproduce the payroll register within the tolerance. Fix before sharing.</t>
  </si>
  <si>
    <t xml:space="preserve">Wage base block is complete when employees are counted, and the count does not exceed headcount</t>
  </si>
  <si>
    <t xml:space="preserve">Fill in the rate and both wage bases, make sure the 2027 base is not below 2026, and count no more employees than you have.</t>
  </si>
  <si>
    <t xml:space="preserve">2026 actuals on Summary are complete (7 required lines; contingency may stay blank) or all blank</t>
  </si>
  <si>
    <t xml:space="preserve">Fill every line from base pay to other HR costs (0 where a line had no cost), or clear them all. Until then the Summary shows n/a for the totals and the bridge. None entered reads NOTE.</t>
  </si>
  <si>
    <t xml:space="preserve">Quarterly totals add to the annual total</t>
  </si>
  <si>
    <t xml:space="preserve">Summary section B and section A disagree. Look for an overwritten formula.</t>
  </si>
  <si>
    <t xml:space="preserve">Summary lines tie to the monthly sheets</t>
  </si>
  <si>
    <t xml:space="preserve">A Summary formula was overwritten or a monthly column was changed.</t>
  </si>
  <si>
    <t xml:space="preserve">Sensitivity calculation ties to the Summary total</t>
  </si>
  <si>
    <t xml:space="preserve">The calculation table on the Sensitivity sheet no longer matches the monthly model. Look for an overwritten formula.</t>
  </si>
  <si>
    <t xml:space="preserve">Scenario table ties to the Summary total for the scenario in use</t>
  </si>
  <si>
    <t xml:space="preserve">Summary section E and section A disagree. Look for an overwritten formula.</t>
  </si>
  <si>
    <t xml:space="preserve">Bridge from 2026 to 2027 ties to the total change</t>
  </si>
  <si>
    <t xml:space="preserve">Needs 2026 actuals and the 2026 average headcount.</t>
  </si>
  <si>
    <t xml:space="preserve">No error values on the calculation sheets</t>
  </si>
  <si>
    <t xml:space="preserve">An input is text where a number is needed. Trace the first #VALUE! or #DIV/0! back to Assumptions.</t>
  </si>
  <si>
    <t xml:space="preserve">No month's headcount differs by more than 10% from the month before (opening headcount for January)</t>
  </si>
  <si>
    <t xml:space="preserve">Counts months with a jump above 10%. A typed 0 or a slipped digit shows here. A real hiring wave or closure is fine: confirm it is intended.</t>
  </si>
</sst>
</file>

<file path=xl/styles.xml><?xml version="1.0" encoding="utf-8"?>
<styleSheet xmlns="http://schemas.openxmlformats.org/spreadsheetml/2006/main">
  <numFmts count="10">
    <numFmt numFmtId="164" formatCode="General"/>
    <numFmt numFmtId="165" formatCode="#,##0.0"/>
    <numFmt numFmtId="166" formatCode="0"/>
    <numFmt numFmtId="167" formatCode="0.00%"/>
    <numFmt numFmtId="168" formatCode="#,##0;[RED]\-#,##0;0"/>
    <numFmt numFmtId="169" formatCode="0.0%"/>
    <numFmt numFmtId="170" formatCode="#,##0.00"/>
    <numFmt numFmtId="171" formatCode="#,##0"/>
    <numFmt numFmtId="172" formatCode="0.000"/>
    <numFmt numFmtId="173" formatCode="#,##0.00;[RED]\-#,##0.00;0.00"/>
  </numFmts>
  <fonts count="15">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b val="true"/>
      <sz val="10"/>
      <color rgb="FF000000"/>
      <name val="Arial"/>
      <family val="0"/>
      <charset val="1"/>
    </font>
    <font>
      <sz val="10"/>
      <color rgb="FF000000"/>
      <name val="Arial"/>
      <family val="0"/>
      <charset val="1"/>
    </font>
    <font>
      <b val="true"/>
      <sz val="10"/>
      <color rgb="FF843C0C"/>
      <name val="Arial"/>
      <family val="0"/>
      <charset val="1"/>
    </font>
    <font>
      <b val="true"/>
      <sz val="11"/>
      <color rgb="FF1F3864"/>
      <name val="Arial"/>
      <family val="0"/>
      <charset val="1"/>
    </font>
    <font>
      <sz val="10"/>
      <color rgb="FF0000FF"/>
      <name val="Arial"/>
      <family val="0"/>
      <charset val="1"/>
    </font>
    <font>
      <b val="true"/>
      <sz val="10"/>
      <color rgb="FF9C0006"/>
      <name val="Arial"/>
      <family val="0"/>
      <charset val="1"/>
    </font>
    <font>
      <sz val="9"/>
      <color rgb="FF595959"/>
      <name val="Arial"/>
      <family val="0"/>
      <charset val="1"/>
    </font>
    <font>
      <b val="true"/>
      <sz val="10"/>
      <color rgb="FFFFFFFF"/>
      <name val="Arial"/>
      <family val="0"/>
      <charset val="1"/>
    </font>
    <font>
      <i val="true"/>
      <sz val="10"/>
      <color rgb="FF404040"/>
      <name val="Arial"/>
      <family val="0"/>
      <charset val="1"/>
    </font>
    <font>
      <b val="true"/>
      <sz val="10"/>
      <color rgb="FFC00000"/>
      <name val="Arial"/>
      <family val="0"/>
      <charset val="1"/>
    </font>
  </fonts>
  <fills count="11">
    <fill>
      <patternFill patternType="none"/>
    </fill>
    <fill>
      <patternFill patternType="gray125"/>
    </fill>
    <fill>
      <patternFill patternType="solid">
        <fgColor rgb="FFFCE4D6"/>
        <bgColor rgb="FFFFF2CC"/>
      </patternFill>
    </fill>
    <fill>
      <patternFill patternType="solid">
        <fgColor rgb="FFD9E2F3"/>
        <bgColor rgb="FFE7E6E6"/>
      </patternFill>
    </fill>
    <fill>
      <patternFill patternType="solid">
        <fgColor rgb="FFFFF2CC"/>
        <bgColor rgb="FFFCE4D6"/>
      </patternFill>
    </fill>
    <fill>
      <patternFill patternType="solid">
        <fgColor rgb="FFC6EFCE"/>
        <bgColor rgb="FFD9E2F3"/>
      </patternFill>
    </fill>
    <fill>
      <patternFill patternType="solid">
        <fgColor rgb="FFFFC7CE"/>
        <bgColor rgb="FFFCE4D6"/>
      </patternFill>
    </fill>
    <fill>
      <patternFill patternType="solid">
        <fgColor rgb="FFFFEB9C"/>
        <bgColor rgb="FFFFF2CC"/>
      </patternFill>
    </fill>
    <fill>
      <patternFill patternType="solid">
        <fgColor rgb="FF1F3864"/>
        <bgColor rgb="FF333399"/>
      </patternFill>
    </fill>
    <fill>
      <patternFill patternType="solid">
        <fgColor rgb="FFF2F2F2"/>
        <bgColor rgb="FFE7E6E6"/>
      </patternFill>
    </fill>
    <fill>
      <patternFill patternType="solid">
        <fgColor rgb="FFE7E6E6"/>
        <bgColor rgb="FFD9E2F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true" applyAlignment="true" applyProtection="false">
      <alignment horizontal="general" vertical="center"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5" fillId="5" borderId="1" xfId="0" applyFont="true" applyBorder="true" applyAlignment="true" applyProtection="false">
      <alignment horizontal="center" vertical="bottom" textRotation="0" wrapText="false" indent="0" shrinkToFit="false"/>
      <protection locked="true" hidden="false"/>
    </xf>
    <xf numFmtId="164" fontId="5" fillId="6" borderId="1" xfId="0" applyFont="true" applyBorder="true" applyAlignment="true" applyProtection="false">
      <alignment horizontal="center" vertical="bottom" textRotation="0" wrapText="false" indent="0" shrinkToFit="false"/>
      <protection locked="true" hidden="false"/>
    </xf>
    <xf numFmtId="164" fontId="5" fillId="7" borderId="1" xfId="0" applyFont="true" applyBorder="true" applyAlignment="true" applyProtection="false">
      <alignment horizontal="center" vertical="bottom" textRotation="0" wrapText="false" indent="0" shrinkToFit="false"/>
      <protection locked="true" hidden="false"/>
    </xf>
    <xf numFmtId="164" fontId="10" fillId="6"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1" shrinkToFit="false"/>
      <protection locked="true" hidden="false"/>
    </xf>
    <xf numFmtId="164" fontId="8" fillId="3"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9" fillId="4" borderId="1" xfId="0" applyFont="true" applyBorder="true" applyAlignment="true" applyProtection="false">
      <alignment horizontal="right" vertical="center" textRotation="0" wrapText="false" indent="0" shrinkToFit="false"/>
      <protection locked="true" hidden="false"/>
    </xf>
    <xf numFmtId="165" fontId="9" fillId="4" borderId="1" xfId="0" applyFont="true" applyBorder="true" applyAlignment="true" applyProtection="false">
      <alignment horizontal="right" vertical="center" textRotation="0" wrapText="false" indent="0" shrinkToFit="false"/>
      <protection locked="true" hidden="false"/>
    </xf>
    <xf numFmtId="166" fontId="6" fillId="0" borderId="1" xfId="0" applyFont="true" applyBorder="true" applyAlignment="true" applyProtection="false">
      <alignment horizontal="right" vertical="center" textRotation="0" wrapText="false" indent="0" shrinkToFit="false"/>
      <protection locked="true" hidden="false"/>
    </xf>
    <xf numFmtId="164" fontId="12" fillId="8" borderId="1" xfId="0" applyFont="true" applyBorder="true" applyAlignment="true" applyProtection="false">
      <alignment horizontal="left" vertical="center" textRotation="0" wrapText="true" indent="0" shrinkToFit="false"/>
      <protection locked="true" hidden="false"/>
    </xf>
    <xf numFmtId="164" fontId="12" fillId="8" borderId="1" xfId="0" applyFont="true" applyBorder="true" applyAlignment="true" applyProtection="false">
      <alignment horizontal="center" vertical="center" textRotation="0" wrapText="true" indent="0" shrinkToFit="false"/>
      <protection locked="true" hidden="false"/>
    </xf>
    <xf numFmtId="167" fontId="9" fillId="4" borderId="1" xfId="0" applyFont="true" applyBorder="true" applyAlignment="true" applyProtection="false">
      <alignment horizontal="right" vertical="center" textRotation="0" wrapText="false" indent="0" shrinkToFit="false"/>
      <protection locked="true" hidden="false"/>
    </xf>
    <xf numFmtId="167" fontId="5" fillId="0" borderId="1"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5" fontId="5" fillId="0" borderId="1" xfId="0" applyFont="true" applyBorder="true" applyAlignment="true" applyProtection="false">
      <alignment horizontal="right" vertical="center" textRotation="0" wrapText="false" indent="0" shrinkToFit="false"/>
      <protection locked="true" hidden="false"/>
    </xf>
    <xf numFmtId="168" fontId="9" fillId="4" borderId="1" xfId="0" applyFont="true" applyBorder="true" applyAlignment="true" applyProtection="false">
      <alignment horizontal="right" vertical="center" textRotation="0" wrapText="false" indent="0" shrinkToFit="false"/>
      <protection locked="true" hidden="false"/>
    </xf>
    <xf numFmtId="168" fontId="5" fillId="0" borderId="1" xfId="0" applyFont="true" applyBorder="true" applyAlignment="true" applyProtection="false">
      <alignment horizontal="right" vertical="center" textRotation="0" wrapText="false" indent="0" shrinkToFit="false"/>
      <protection locked="true" hidden="false"/>
    </xf>
    <xf numFmtId="169" fontId="9" fillId="4" borderId="1" xfId="0" applyFont="true" applyBorder="true" applyAlignment="true" applyProtection="false">
      <alignment horizontal="right" vertical="center" textRotation="0" wrapText="false" indent="0" shrinkToFit="false"/>
      <protection locked="true" hidden="false"/>
    </xf>
    <xf numFmtId="166" fontId="9" fillId="4" borderId="1" xfId="0" applyFont="true" applyBorder="true" applyAlignment="true" applyProtection="false">
      <alignment horizontal="right" vertical="center" textRotation="0" wrapText="false" indent="0" shrinkToFit="false"/>
      <protection locked="true" hidden="false"/>
    </xf>
    <xf numFmtId="170" fontId="9" fillId="4" borderId="1"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9" fontId="5" fillId="9" borderId="1" xfId="0" applyFont="true" applyBorder="true" applyAlignment="true" applyProtection="false">
      <alignment horizontal="right" vertical="center" textRotation="0" wrapText="false" indent="0" shrinkToFit="false"/>
      <protection locked="true" hidden="false"/>
    </xf>
    <xf numFmtId="171" fontId="9" fillId="4" borderId="1" xfId="0" applyFont="true" applyBorder="true" applyAlignment="true" applyProtection="false">
      <alignment horizontal="right" vertical="center" textRotation="0" wrapText="false" indent="0" shrinkToFit="false"/>
      <protection locked="true" hidden="false"/>
    </xf>
    <xf numFmtId="170" fontId="6" fillId="0" borderId="1" xfId="0" applyFont="true" applyBorder="true" applyAlignment="true" applyProtection="false">
      <alignment horizontal="right" vertical="center" textRotation="0" wrapText="false" indent="0" shrinkToFit="false"/>
      <protection locked="true" hidden="false"/>
    </xf>
    <xf numFmtId="170" fontId="5" fillId="9" borderId="1" xfId="0" applyFont="true" applyBorder="true" applyAlignment="true" applyProtection="false">
      <alignment horizontal="right" vertical="center" textRotation="0" wrapText="false" indent="0" shrinkToFit="false"/>
      <protection locked="true" hidden="false"/>
    </xf>
    <xf numFmtId="166" fontId="6" fillId="0" borderId="1" xfId="0" applyFont="true" applyBorder="true" applyAlignment="true" applyProtection="false">
      <alignment horizontal="center" vertical="bottom" textRotation="0" wrapText="false" indent="0" shrinkToFit="false"/>
      <protection locked="true" hidden="false"/>
    </xf>
    <xf numFmtId="165" fontId="5" fillId="9" borderId="1" xfId="0" applyFont="true" applyBorder="true" applyAlignment="true" applyProtection="false">
      <alignment horizontal="right" vertical="center" textRotation="0" wrapText="false" indent="0" shrinkToFit="false"/>
      <protection locked="true" hidden="false"/>
    </xf>
    <xf numFmtId="165" fontId="6" fillId="0" borderId="1"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1" shrinkToFit="false"/>
      <protection locked="true" hidden="false"/>
    </xf>
    <xf numFmtId="164" fontId="6" fillId="0" borderId="1" xfId="0" applyFont="true" applyBorder="true" applyAlignment="true" applyProtection="false">
      <alignment horizontal="left" vertical="bottom" textRotation="0" wrapText="false" indent="0" shrinkToFit="false"/>
      <protection locked="true" hidden="false"/>
    </xf>
    <xf numFmtId="168" fontId="6" fillId="0" borderId="1" xfId="0" applyFont="true" applyBorder="true" applyAlignment="true" applyProtection="false">
      <alignment horizontal="right" vertical="center" textRotation="0" wrapText="false" indent="0" shrinkToFit="false"/>
      <protection locked="true" hidden="false"/>
    </xf>
    <xf numFmtId="164" fontId="5" fillId="9" borderId="1" xfId="0" applyFont="true" applyBorder="true" applyAlignment="true" applyProtection="false">
      <alignment horizontal="left" vertical="center" textRotation="0" wrapText="false" indent="0" shrinkToFit="false"/>
      <protection locked="true" hidden="false"/>
    </xf>
    <xf numFmtId="168" fontId="5" fillId="9" borderId="1" xfId="0" applyFont="true" applyBorder="true" applyAlignment="true" applyProtection="false">
      <alignment horizontal="right" vertical="center" textRotation="0" wrapText="false" indent="0" shrinkToFit="false"/>
      <protection locked="true" hidden="false"/>
    </xf>
    <xf numFmtId="169" fontId="6" fillId="0" borderId="1"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5" fillId="10" borderId="0" xfId="0" applyFont="true" applyBorder="false" applyAlignment="true" applyProtection="false">
      <alignment horizontal="left" vertical="center"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72" fontId="6" fillId="0" borderId="1" xfId="0" applyFont="true" applyBorder="true" applyAlignment="true" applyProtection="false">
      <alignment horizontal="right" vertical="center" textRotation="0" wrapText="false" indent="0" shrinkToFit="false"/>
      <protection locked="true" hidden="false"/>
    </xf>
    <xf numFmtId="166" fontId="5" fillId="0" borderId="1" xfId="0" applyFont="true" applyBorder="true" applyAlignment="true" applyProtection="false">
      <alignment horizontal="right" vertical="center" textRotation="0" wrapText="false" indent="0" shrinkToFit="false"/>
      <protection locked="true" hidden="false"/>
    </xf>
    <xf numFmtId="164" fontId="5" fillId="0" borderId="1" xfId="0" applyFont="true" applyBorder="true" applyAlignment="true" applyProtection="false">
      <alignment horizontal="right"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73" fontId="6" fillId="0" borderId="1" xfId="0" applyFont="true" applyBorder="true" applyAlignment="true" applyProtection="false">
      <alignment horizontal="righ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9C0006"/>
        <sz val="10"/>
      </font>
      <fill>
        <patternFill>
          <bgColor rgb="FFFFC7CE"/>
        </patternFill>
      </fill>
    </dxf>
    <dxf>
      <fill>
        <patternFill>
          <bgColor rgb="FFC6EFCE"/>
        </patternFill>
      </fill>
    </dxf>
    <dxf>
      <fill>
        <patternFill>
          <bgColor rgb="FFFFC7CE"/>
        </patternFill>
      </fill>
    </dxf>
    <dxf>
      <fill>
        <patternFill>
          <bgColor rgb="FFFFEB9C"/>
        </patternFill>
      </fill>
    </dxf>
    <dxf>
      <fill>
        <patternFill>
          <bgColor rgb="FFE7E6E6"/>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E7E6E6"/>
      <rgbColor rgb="FFC6EFCE"/>
      <rgbColor rgb="FFFFEB9C"/>
      <rgbColor rgb="FF99CCFF"/>
      <rgbColor rgb="FFFCE4D6"/>
      <rgbColor rgb="FFCC99FF"/>
      <rgbColor rgb="FFFFC7CE"/>
      <rgbColor rgb="FF3366FF"/>
      <rgbColor rgb="FF33CCCC"/>
      <rgbColor rgb="FF99CC00"/>
      <rgbColor rgb="FFFFCC00"/>
      <rgbColor rgb="FFFF9900"/>
      <rgbColor rgb="FFFF6600"/>
      <rgbColor rgb="FF595959"/>
      <rgbColor rgb="FF969696"/>
      <rgbColor rgb="FF1F3864"/>
      <rgbColor rgb="FF339966"/>
      <rgbColor rgb="FF003300"/>
      <rgbColor rgb="FF333300"/>
      <rgbColor rgb="FF843C0C"/>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0"/>
  </cols>
  <sheetData>
    <row r="1" customFormat="false" ht="27.75" hidden="false" customHeight="true" outlineLevel="0" collapsed="false">
      <c r="A1" s="1" t="s">
        <v>0</v>
      </c>
    </row>
    <row r="2" customFormat="false" ht="15" hidden="false" customHeight="false" outlineLevel="0" collapsed="false">
      <c r="A2" s="2" t="s">
        <v>1</v>
      </c>
    </row>
    <row r="3" customFormat="false" ht="30" hidden="false" customHeight="true" outlineLevel="0" collapsed="false">
      <c r="A3" s="3" t="s">
        <v>2</v>
      </c>
      <c r="B3" s="3"/>
    </row>
    <row r="4" customFormat="false" ht="30" hidden="false" customHeight="true" outlineLevel="0" collapsed="false">
      <c r="A4" s="4" t="s">
        <v>3</v>
      </c>
      <c r="B4" s="4"/>
    </row>
    <row r="6" customFormat="false" ht="19.5" hidden="false" customHeight="true" outlineLevel="0" collapsed="false">
      <c r="A6" s="5" t="s">
        <v>4</v>
      </c>
      <c r="B6" s="6"/>
    </row>
    <row r="7" customFormat="false" ht="54" hidden="false" customHeight="true" outlineLevel="0" collapsed="false">
      <c r="A7" s="7" t="s">
        <v>5</v>
      </c>
      <c r="B7" s="8" t="s">
        <v>6</v>
      </c>
    </row>
    <row r="9" customFormat="false" ht="19.5" hidden="false" customHeight="true" outlineLevel="0" collapsed="false">
      <c r="A9" s="5" t="s">
        <v>7</v>
      </c>
      <c r="B9" s="6"/>
    </row>
    <row r="10" customFormat="false" ht="27" hidden="false" customHeight="true" outlineLevel="0" collapsed="false">
      <c r="A10" s="7" t="s">
        <v>8</v>
      </c>
      <c r="B10" s="8" t="s">
        <v>9</v>
      </c>
    </row>
    <row r="11" customFormat="false" ht="15" hidden="false" customHeight="true" outlineLevel="0" collapsed="false">
      <c r="A11" s="7" t="s">
        <v>10</v>
      </c>
      <c r="B11" s="8" t="s">
        <v>11</v>
      </c>
    </row>
    <row r="12" customFormat="false" ht="40.5" hidden="false" customHeight="true" outlineLevel="0" collapsed="false">
      <c r="A12" s="7" t="s">
        <v>12</v>
      </c>
      <c r="B12" s="8" t="s">
        <v>13</v>
      </c>
    </row>
    <row r="13" customFormat="false" ht="27" hidden="false" customHeight="true" outlineLevel="0" collapsed="false">
      <c r="A13" s="7" t="s">
        <v>14</v>
      </c>
      <c r="B13" s="8" t="s">
        <v>15</v>
      </c>
    </row>
    <row r="14" customFormat="false" ht="15" hidden="false" customHeight="true" outlineLevel="0" collapsed="false">
      <c r="A14" s="7" t="s">
        <v>16</v>
      </c>
      <c r="B14" s="8" t="s">
        <v>17</v>
      </c>
    </row>
    <row r="15" customFormat="false" ht="27" hidden="false" customHeight="true" outlineLevel="0" collapsed="false">
      <c r="A15" s="7" t="s">
        <v>18</v>
      </c>
      <c r="B15" s="8" t="s">
        <v>19</v>
      </c>
    </row>
    <row r="16" customFormat="false" ht="54" hidden="false" customHeight="true" outlineLevel="0" collapsed="false">
      <c r="A16" s="7" t="s">
        <v>20</v>
      </c>
      <c r="B16" s="8" t="s">
        <v>21</v>
      </c>
    </row>
    <row r="17" customFormat="false" ht="27" hidden="false" customHeight="true" outlineLevel="0" collapsed="false">
      <c r="A17" s="7" t="s">
        <v>22</v>
      </c>
      <c r="B17" s="8" t="s">
        <v>23</v>
      </c>
    </row>
    <row r="18" customFormat="false" ht="27" hidden="false" customHeight="true" outlineLevel="0" collapsed="false">
      <c r="A18" s="7" t="s">
        <v>24</v>
      </c>
      <c r="B18" s="8" t="s">
        <v>25</v>
      </c>
    </row>
    <row r="20" customFormat="false" ht="19.5" hidden="false" customHeight="true" outlineLevel="0" collapsed="false">
      <c r="A20" s="5" t="s">
        <v>26</v>
      </c>
      <c r="B20" s="6"/>
    </row>
    <row r="21" customFormat="false" ht="15" hidden="false" customHeight="false" outlineLevel="0" collapsed="false">
      <c r="A21" s="9" t="s">
        <v>27</v>
      </c>
      <c r="B21" s="10" t="s">
        <v>28</v>
      </c>
    </row>
    <row r="22" customFormat="false" ht="15" hidden="false" customHeight="false" outlineLevel="0" collapsed="false">
      <c r="A22" s="11" t="s">
        <v>29</v>
      </c>
      <c r="B22" s="10" t="s">
        <v>30</v>
      </c>
    </row>
    <row r="23" customFormat="false" ht="15" hidden="false" customHeight="false" outlineLevel="0" collapsed="false">
      <c r="A23" s="12" t="s">
        <v>31</v>
      </c>
      <c r="B23" s="10" t="s">
        <v>32</v>
      </c>
    </row>
    <row r="24" customFormat="false" ht="15" hidden="false" customHeight="false" outlineLevel="0" collapsed="false">
      <c r="A24" s="13" t="s">
        <v>33</v>
      </c>
      <c r="B24" s="10" t="s">
        <v>34</v>
      </c>
    </row>
    <row r="25" customFormat="false" ht="15" hidden="false" customHeight="false" outlineLevel="0" collapsed="false">
      <c r="A25" s="14" t="s">
        <v>35</v>
      </c>
      <c r="B25" s="10" t="s">
        <v>36</v>
      </c>
    </row>
    <row r="26" customFormat="false" ht="15" hidden="false" customHeight="false" outlineLevel="0" collapsed="false">
      <c r="A26" s="15" t="s">
        <v>37</v>
      </c>
      <c r="B26" s="10" t="s">
        <v>38</v>
      </c>
    </row>
    <row r="28" customFormat="false" ht="19.5" hidden="false" customHeight="true" outlineLevel="0" collapsed="false">
      <c r="A28" s="5" t="s">
        <v>39</v>
      </c>
      <c r="B28" s="6"/>
    </row>
    <row r="29" customFormat="false" ht="15" hidden="false" customHeight="true" outlineLevel="0" collapsed="false">
      <c r="A29" s="7" t="s">
        <v>40</v>
      </c>
      <c r="B29" s="8" t="s">
        <v>41</v>
      </c>
    </row>
    <row r="30" customFormat="false" ht="15" hidden="false" customHeight="true" outlineLevel="0" collapsed="false">
      <c r="A30" s="7" t="s">
        <v>42</v>
      </c>
      <c r="B30" s="8" t="s">
        <v>43</v>
      </c>
    </row>
    <row r="31" customFormat="false" ht="15" hidden="false" customHeight="true" outlineLevel="0" collapsed="false">
      <c r="A31" s="7" t="s">
        <v>44</v>
      </c>
      <c r="B31" s="8" t="s">
        <v>45</v>
      </c>
    </row>
    <row r="32" customFormat="false" ht="15" hidden="false" customHeight="true" outlineLevel="0" collapsed="false">
      <c r="A32" s="7" t="s">
        <v>46</v>
      </c>
      <c r="B32" s="8" t="s">
        <v>47</v>
      </c>
    </row>
    <row r="33" customFormat="false" ht="27" hidden="false" customHeight="true" outlineLevel="0" collapsed="false">
      <c r="A33" s="7" t="s">
        <v>48</v>
      </c>
      <c r="B33" s="8" t="s">
        <v>49</v>
      </c>
    </row>
    <row r="34" customFormat="false" ht="15" hidden="false" customHeight="true" outlineLevel="0" collapsed="false">
      <c r="A34" s="7" t="s">
        <v>50</v>
      </c>
      <c r="B34" s="8" t="s">
        <v>51</v>
      </c>
    </row>
    <row r="36" customFormat="false" ht="19.5" hidden="false" customHeight="true" outlineLevel="0" collapsed="false">
      <c r="A36" s="5" t="s">
        <v>52</v>
      </c>
      <c r="B36" s="6"/>
    </row>
    <row r="37" customFormat="false" ht="54" hidden="false" customHeight="true" outlineLevel="0" collapsed="false">
      <c r="A37" s="7" t="s">
        <v>53</v>
      </c>
      <c r="B37" s="8" t="s">
        <v>54</v>
      </c>
    </row>
    <row r="38" customFormat="false" ht="27" hidden="false" customHeight="true" outlineLevel="0" collapsed="false">
      <c r="A38" s="7" t="s">
        <v>55</v>
      </c>
      <c r="B38" s="8" t="s">
        <v>56</v>
      </c>
    </row>
    <row r="39" customFormat="false" ht="27" hidden="false" customHeight="true" outlineLevel="0" collapsed="false">
      <c r="A39" s="7" t="s">
        <v>57</v>
      </c>
      <c r="B39" s="8" t="s">
        <v>58</v>
      </c>
    </row>
    <row r="40" customFormat="false" ht="27" hidden="false" customHeight="true" outlineLevel="0" collapsed="false">
      <c r="A40" s="7" t="s">
        <v>44</v>
      </c>
      <c r="B40" s="8" t="s">
        <v>59</v>
      </c>
    </row>
    <row r="41" customFormat="false" ht="27" hidden="false" customHeight="true" outlineLevel="0" collapsed="false">
      <c r="A41" s="7" t="s">
        <v>60</v>
      </c>
      <c r="B41" s="8" t="s">
        <v>61</v>
      </c>
    </row>
    <row r="42" customFormat="false" ht="40.5" hidden="false" customHeight="true" outlineLevel="0" collapsed="false">
      <c r="A42" s="7" t="s">
        <v>62</v>
      </c>
      <c r="B42" s="8" t="s">
        <v>63</v>
      </c>
    </row>
    <row r="44" customFormat="false" ht="19.5" hidden="false" customHeight="true" outlineLevel="0" collapsed="false">
      <c r="A44" s="5" t="s">
        <v>64</v>
      </c>
      <c r="B44" s="6"/>
    </row>
    <row r="45" customFormat="false" ht="15" hidden="false" customHeight="true" outlineLevel="0" collapsed="false">
      <c r="A45" s="7" t="s">
        <v>64</v>
      </c>
      <c r="B45" s="8" t="s">
        <v>65</v>
      </c>
    </row>
  </sheetData>
  <mergeCells count="2">
    <mergeCell ref="A3:B3"/>
    <mergeCell ref="A4:B4"/>
  </mergeCells>
  <printOptions headings="false" gridLines="false" gridLinesSet="true" horizontalCentered="false" verticalCentered="false"/>
  <pageMargins left="0.5" right="0.5" top="0.6" bottom="0.6"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0"/>
    <col collapsed="false" customWidth="true" hidden="false" outlineLevel="0" max="3" min="3" style="0" width="21"/>
    <col collapsed="false" customWidth="true" hidden="false" outlineLevel="0" max="5" min="4" style="0" width="15"/>
    <col collapsed="false" customWidth="true" hidden="false" outlineLevel="0" max="6" min="6" style="0" width="16"/>
    <col collapsed="false" customWidth="true" hidden="false" outlineLevel="0" max="7" min="7" style="0" width="70"/>
  </cols>
  <sheetData>
    <row r="1" customFormat="false" ht="25.5" hidden="false" customHeight="true" outlineLevel="0" collapsed="false">
      <c r="A1" s="1" t="s">
        <v>40</v>
      </c>
    </row>
    <row r="2" customFormat="false" ht="30" hidden="false" customHeight="true" outlineLevel="0" collapsed="false">
      <c r="A2" s="4" t="s">
        <v>66</v>
      </c>
      <c r="B2" s="4"/>
      <c r="C2" s="4"/>
      <c r="D2" s="4"/>
      <c r="E2" s="4"/>
      <c r="F2" s="4"/>
      <c r="G2" s="4"/>
    </row>
    <row r="3" customFormat="false" ht="15" hidden="false" customHeight="true" outlineLevel="0" collapsed="false">
      <c r="A3" s="16" t="s">
        <v>67</v>
      </c>
      <c r="B3" s="16"/>
      <c r="C3" s="16"/>
      <c r="D3" s="16"/>
      <c r="E3" s="16"/>
      <c r="F3" s="16"/>
      <c r="G3" s="16"/>
    </row>
    <row r="5" customFormat="false" ht="19.5" hidden="false" customHeight="true" outlineLevel="0" collapsed="false">
      <c r="A5" s="17" t="s">
        <v>8</v>
      </c>
      <c r="B5" s="6"/>
      <c r="C5" s="6"/>
      <c r="D5" s="6"/>
      <c r="E5" s="6"/>
      <c r="F5" s="6"/>
      <c r="G5" s="6"/>
    </row>
    <row r="6" customFormat="false" ht="15" hidden="false" customHeight="true" outlineLevel="0" collapsed="false">
      <c r="A6" s="18" t="s">
        <v>68</v>
      </c>
      <c r="B6" s="18" t="s">
        <v>69</v>
      </c>
      <c r="C6" s="19" t="s">
        <v>70</v>
      </c>
      <c r="D6" s="16" t="s">
        <v>71</v>
      </c>
      <c r="E6" s="16"/>
      <c r="F6" s="16"/>
      <c r="G6" s="16"/>
    </row>
    <row r="7" customFormat="false" ht="15" hidden="false" customHeight="true" outlineLevel="0" collapsed="false">
      <c r="A7" s="18" t="s">
        <v>72</v>
      </c>
      <c r="B7" s="18" t="s">
        <v>73</v>
      </c>
      <c r="C7" s="19" t="s">
        <v>74</v>
      </c>
      <c r="D7" s="16" t="s">
        <v>75</v>
      </c>
      <c r="E7" s="16"/>
      <c r="F7" s="16"/>
      <c r="G7" s="16"/>
    </row>
    <row r="8" customFormat="false" ht="15" hidden="false" customHeight="true" outlineLevel="0" collapsed="false">
      <c r="A8" s="18" t="s">
        <v>76</v>
      </c>
      <c r="B8" s="18" t="s">
        <v>77</v>
      </c>
      <c r="C8" s="20" t="n">
        <v>120</v>
      </c>
      <c r="D8" s="16" t="s">
        <v>78</v>
      </c>
      <c r="E8" s="16"/>
      <c r="F8" s="16"/>
      <c r="G8" s="16"/>
    </row>
    <row r="9" customFormat="false" ht="15" hidden="false" customHeight="true" outlineLevel="0" collapsed="false">
      <c r="A9" s="18" t="s">
        <v>79</v>
      </c>
      <c r="B9" s="18" t="s">
        <v>80</v>
      </c>
      <c r="C9" s="21" t="n">
        <f aca="false">IF(C7="Low",1,IF(C7="High",3,2))</f>
        <v>2</v>
      </c>
      <c r="D9" s="16" t="s">
        <v>81</v>
      </c>
      <c r="E9" s="16"/>
      <c r="F9" s="16"/>
      <c r="G9" s="16"/>
    </row>
    <row r="11" customFormat="false" ht="19.5" hidden="false" customHeight="true" outlineLevel="0" collapsed="false">
      <c r="A11" s="17" t="s">
        <v>82</v>
      </c>
      <c r="B11" s="6"/>
      <c r="C11" s="6"/>
      <c r="D11" s="6"/>
      <c r="E11" s="6"/>
      <c r="F11" s="6"/>
      <c r="G11" s="6"/>
    </row>
    <row r="12" customFormat="false" ht="30" hidden="false" customHeight="true" outlineLevel="0" collapsed="false">
      <c r="A12" s="22" t="s">
        <v>83</v>
      </c>
      <c r="B12" s="23" t="s">
        <v>84</v>
      </c>
      <c r="C12" s="23" t="s">
        <v>85</v>
      </c>
      <c r="D12" s="23" t="s">
        <v>74</v>
      </c>
      <c r="E12" s="23" t="s">
        <v>86</v>
      </c>
      <c r="F12" s="23" t="s">
        <v>87</v>
      </c>
      <c r="G12" s="23" t="s">
        <v>88</v>
      </c>
    </row>
    <row r="13" customFormat="false" ht="27.75" hidden="false" customHeight="true" outlineLevel="0" collapsed="false">
      <c r="A13" s="18" t="s">
        <v>89</v>
      </c>
      <c r="B13" s="18" t="s">
        <v>90</v>
      </c>
      <c r="C13" s="24" t="n">
        <v>0.025</v>
      </c>
      <c r="D13" s="24" t="n">
        <v>0.035</v>
      </c>
      <c r="E13" s="24" t="n">
        <v>0.045</v>
      </c>
      <c r="F13" s="25" t="n">
        <f aca="false">INDEX(C13:E13,$C$9)</f>
        <v>0.035</v>
      </c>
      <c r="G13" s="26" t="s">
        <v>91</v>
      </c>
    </row>
    <row r="14" customFormat="false" ht="27.75" hidden="false" customHeight="true" outlineLevel="0" collapsed="false">
      <c r="A14" s="18" t="s">
        <v>92</v>
      </c>
      <c r="B14" s="18" t="s">
        <v>90</v>
      </c>
      <c r="C14" s="24" t="n">
        <v>0.005</v>
      </c>
      <c r="D14" s="24" t="n">
        <v>0.01</v>
      </c>
      <c r="E14" s="24" t="n">
        <v>0.015</v>
      </c>
      <c r="F14" s="25" t="n">
        <f aca="false">INDEX(C14:E14,$C$9)</f>
        <v>0.01</v>
      </c>
      <c r="G14" s="26" t="s">
        <v>93</v>
      </c>
    </row>
    <row r="15" customFormat="false" ht="27.75" hidden="false" customHeight="true" outlineLevel="0" collapsed="false">
      <c r="A15" s="18" t="s">
        <v>94</v>
      </c>
      <c r="B15" s="18" t="s">
        <v>95</v>
      </c>
      <c r="C15" s="24" t="n">
        <v>0.06</v>
      </c>
      <c r="D15" s="24" t="n">
        <v>0.08</v>
      </c>
      <c r="E15" s="24" t="n">
        <v>0.1</v>
      </c>
      <c r="F15" s="25" t="n">
        <f aca="false">INDEX(C15:E15,$C$9)</f>
        <v>0.08</v>
      </c>
      <c r="G15" s="26" t="s">
        <v>96</v>
      </c>
    </row>
    <row r="16" customFormat="false" ht="27.75" hidden="false" customHeight="true" outlineLevel="0" collapsed="false">
      <c r="A16" s="18" t="s">
        <v>97</v>
      </c>
      <c r="B16" s="18" t="s">
        <v>98</v>
      </c>
      <c r="C16" s="20" t="n">
        <v>20</v>
      </c>
      <c r="D16" s="20" t="n">
        <v>24</v>
      </c>
      <c r="E16" s="20" t="n">
        <v>30</v>
      </c>
      <c r="F16" s="27" t="n">
        <f aca="false">INDEX(C16:E16,$C$9)</f>
        <v>24</v>
      </c>
      <c r="G16" s="26" t="s">
        <v>99</v>
      </c>
    </row>
    <row r="17" customFormat="false" ht="27.75" hidden="false" customHeight="true" outlineLevel="0" collapsed="false">
      <c r="A17" s="18" t="s">
        <v>100</v>
      </c>
      <c r="B17" s="18" t="s">
        <v>101</v>
      </c>
      <c r="C17" s="28" t="n">
        <v>3000</v>
      </c>
      <c r="D17" s="28" t="n">
        <v>4000</v>
      </c>
      <c r="E17" s="28" t="n">
        <v>5500</v>
      </c>
      <c r="F17" s="29" t="n">
        <f aca="false">INDEX(C17:E17,$C$9)</f>
        <v>4000</v>
      </c>
      <c r="G17" s="26" t="s">
        <v>102</v>
      </c>
    </row>
    <row r="18" customFormat="false" ht="27.75" hidden="false" customHeight="true" outlineLevel="0" collapsed="false">
      <c r="A18" s="18" t="s">
        <v>103</v>
      </c>
      <c r="B18" s="18" t="s">
        <v>104</v>
      </c>
      <c r="C18" s="24" t="n">
        <v>0.01</v>
      </c>
      <c r="D18" s="24" t="n">
        <v>0.02</v>
      </c>
      <c r="E18" s="24" t="n">
        <v>0.03</v>
      </c>
      <c r="F18" s="25" t="n">
        <f aca="false">INDEX(C18:E18,$C$9)</f>
        <v>0.02</v>
      </c>
      <c r="G18" s="26" t="s">
        <v>105</v>
      </c>
    </row>
    <row r="20" customFormat="false" ht="19.5" hidden="false" customHeight="true" outlineLevel="0" collapsed="false">
      <c r="A20" s="17" t="s">
        <v>106</v>
      </c>
      <c r="B20" s="6"/>
      <c r="C20" s="6"/>
      <c r="D20" s="6"/>
      <c r="E20" s="6"/>
      <c r="F20" s="6"/>
      <c r="G20" s="6"/>
    </row>
    <row r="21" customFormat="false" ht="30" hidden="false" customHeight="true" outlineLevel="0" collapsed="false">
      <c r="A21" s="22" t="s">
        <v>107</v>
      </c>
      <c r="B21" s="23" t="s">
        <v>84</v>
      </c>
      <c r="C21" s="23" t="s">
        <v>108</v>
      </c>
      <c r="D21" s="23" t="s">
        <v>88</v>
      </c>
      <c r="E21" s="23"/>
      <c r="F21" s="23"/>
      <c r="G21" s="23"/>
    </row>
    <row r="22" customFormat="false" ht="27.75" hidden="false" customHeight="true" outlineLevel="0" collapsed="false">
      <c r="A22" s="18" t="s">
        <v>109</v>
      </c>
      <c r="B22" s="18" t="s">
        <v>110</v>
      </c>
      <c r="C22" s="28" t="n">
        <v>85000</v>
      </c>
      <c r="D22" s="16" t="s">
        <v>111</v>
      </c>
      <c r="E22" s="16"/>
      <c r="F22" s="16"/>
      <c r="G22" s="16"/>
    </row>
    <row r="23" customFormat="false" ht="27.75" hidden="false" customHeight="true" outlineLevel="0" collapsed="false">
      <c r="A23" s="18" t="s">
        <v>112</v>
      </c>
      <c r="B23" s="18" t="s">
        <v>90</v>
      </c>
      <c r="C23" s="30" t="n">
        <v>0.9</v>
      </c>
      <c r="D23" s="16" t="s">
        <v>113</v>
      </c>
      <c r="E23" s="16"/>
      <c r="F23" s="16"/>
      <c r="G23" s="16"/>
    </row>
    <row r="24" customFormat="false" ht="27.75" hidden="false" customHeight="true" outlineLevel="0" collapsed="false">
      <c r="A24" s="18" t="s">
        <v>114</v>
      </c>
      <c r="B24" s="18" t="s">
        <v>115</v>
      </c>
      <c r="C24" s="31" t="n">
        <v>4</v>
      </c>
      <c r="D24" s="16" t="s">
        <v>116</v>
      </c>
      <c r="E24" s="16"/>
      <c r="F24" s="16"/>
      <c r="G24" s="16"/>
    </row>
    <row r="25" customFormat="false" ht="27.75" hidden="false" customHeight="true" outlineLevel="0" collapsed="false">
      <c r="A25" s="18" t="s">
        <v>117</v>
      </c>
      <c r="B25" s="18" t="s">
        <v>115</v>
      </c>
      <c r="C25" s="31" t="n">
        <v>7</v>
      </c>
      <c r="D25" s="16" t="s">
        <v>118</v>
      </c>
      <c r="E25" s="16"/>
      <c r="F25" s="16"/>
      <c r="G25" s="16"/>
    </row>
    <row r="26" customFormat="false" ht="27.75" hidden="false" customHeight="true" outlineLevel="0" collapsed="false">
      <c r="A26" s="18" t="s">
        <v>119</v>
      </c>
      <c r="B26" s="18" t="s">
        <v>90</v>
      </c>
      <c r="C26" s="24" t="n">
        <v>0.08</v>
      </c>
      <c r="D26" s="16" t="s">
        <v>120</v>
      </c>
      <c r="E26" s="16"/>
      <c r="F26" s="16"/>
      <c r="G26" s="16"/>
    </row>
    <row r="27" customFormat="false" ht="27.75" hidden="false" customHeight="true" outlineLevel="0" collapsed="false">
      <c r="A27" s="18" t="s">
        <v>121</v>
      </c>
      <c r="B27" s="18" t="s">
        <v>90</v>
      </c>
      <c r="C27" s="24" t="n">
        <v>0.04</v>
      </c>
      <c r="D27" s="16" t="s">
        <v>122</v>
      </c>
      <c r="E27" s="16"/>
      <c r="F27" s="16"/>
      <c r="G27" s="16"/>
    </row>
    <row r="28" customFormat="false" ht="27.75" hidden="false" customHeight="true" outlineLevel="0" collapsed="false">
      <c r="A28" s="18" t="s">
        <v>123</v>
      </c>
      <c r="B28" s="18" t="s">
        <v>124</v>
      </c>
      <c r="C28" s="28" t="n">
        <v>11000</v>
      </c>
      <c r="D28" s="16" t="s">
        <v>125</v>
      </c>
      <c r="E28" s="16"/>
      <c r="F28" s="16"/>
      <c r="G28" s="16"/>
    </row>
    <row r="29" customFormat="false" ht="27.75" hidden="false" customHeight="true" outlineLevel="0" collapsed="false">
      <c r="A29" s="18" t="s">
        <v>126</v>
      </c>
      <c r="B29" s="18" t="s">
        <v>124</v>
      </c>
      <c r="C29" s="28" t="n">
        <v>900</v>
      </c>
      <c r="D29" s="16" t="s">
        <v>127</v>
      </c>
      <c r="E29" s="16"/>
      <c r="F29" s="16"/>
      <c r="G29" s="16"/>
    </row>
    <row r="30" customFormat="false" ht="27.75" hidden="false" customHeight="true" outlineLevel="0" collapsed="false">
      <c r="A30" s="18" t="s">
        <v>128</v>
      </c>
      <c r="B30" s="18" t="s">
        <v>110</v>
      </c>
      <c r="C30" s="28" t="n">
        <v>36000</v>
      </c>
      <c r="D30" s="16" t="s">
        <v>129</v>
      </c>
      <c r="E30" s="16"/>
      <c r="F30" s="16"/>
      <c r="G30" s="16"/>
    </row>
    <row r="31" customFormat="false" ht="27.75" hidden="false" customHeight="true" outlineLevel="0" collapsed="false">
      <c r="A31" s="18" t="s">
        <v>130</v>
      </c>
      <c r="B31" s="18" t="s">
        <v>124</v>
      </c>
      <c r="C31" s="32" t="n">
        <v>14</v>
      </c>
      <c r="D31" s="16" t="s">
        <v>131</v>
      </c>
      <c r="E31" s="16"/>
      <c r="F31" s="16"/>
      <c r="G31" s="16"/>
    </row>
    <row r="32" customFormat="false" ht="27.75" hidden="false" customHeight="true" outlineLevel="0" collapsed="false">
      <c r="A32" s="18" t="s">
        <v>132</v>
      </c>
      <c r="B32" s="18" t="s">
        <v>110</v>
      </c>
      <c r="C32" s="28" t="n">
        <v>24000</v>
      </c>
      <c r="D32" s="16" t="s">
        <v>133</v>
      </c>
      <c r="E32" s="16"/>
      <c r="F32" s="16"/>
      <c r="G32" s="16"/>
    </row>
    <row r="33" customFormat="false" ht="27.75" hidden="false" customHeight="true" outlineLevel="0" collapsed="false">
      <c r="A33" s="18" t="s">
        <v>134</v>
      </c>
      <c r="B33" s="18" t="s">
        <v>135</v>
      </c>
      <c r="C33" s="19" t="s">
        <v>136</v>
      </c>
      <c r="D33" s="16" t="s">
        <v>137</v>
      </c>
      <c r="E33" s="16"/>
      <c r="F33" s="16"/>
      <c r="G33" s="16"/>
    </row>
    <row r="35" customFormat="false" ht="19.5" hidden="false" customHeight="true" outlineLevel="0" collapsed="false">
      <c r="A35" s="17" t="s">
        <v>138</v>
      </c>
      <c r="B35" s="6"/>
      <c r="C35" s="6"/>
      <c r="D35" s="6"/>
      <c r="E35" s="6"/>
      <c r="F35" s="6"/>
      <c r="G35" s="6"/>
    </row>
    <row r="36" customFormat="false" ht="30" hidden="false" customHeight="true" outlineLevel="0" collapsed="false">
      <c r="A36" s="22" t="s">
        <v>139</v>
      </c>
      <c r="B36" s="23" t="s">
        <v>84</v>
      </c>
      <c r="C36" s="23" t="s">
        <v>140</v>
      </c>
      <c r="D36" s="23" t="s">
        <v>88</v>
      </c>
      <c r="E36" s="23"/>
      <c r="F36" s="23"/>
      <c r="G36" s="23"/>
    </row>
    <row r="37" customFormat="false" ht="15" hidden="false" customHeight="true" outlineLevel="0" collapsed="false">
      <c r="A37" s="18" t="s">
        <v>141</v>
      </c>
      <c r="B37" s="18" t="s">
        <v>142</v>
      </c>
      <c r="C37" s="30" t="n">
        <v>0.3</v>
      </c>
      <c r="D37" s="16" t="s">
        <v>143</v>
      </c>
      <c r="E37" s="16"/>
      <c r="F37" s="16"/>
      <c r="G37" s="16"/>
    </row>
    <row r="38" customFormat="false" ht="15" hidden="false" customHeight="false" outlineLevel="0" collapsed="false">
      <c r="A38" s="18" t="s">
        <v>144</v>
      </c>
      <c r="B38" s="18" t="s">
        <v>142</v>
      </c>
      <c r="C38" s="30" t="n">
        <v>0.3</v>
      </c>
      <c r="D38" s="33"/>
      <c r="E38" s="33"/>
      <c r="F38" s="33"/>
      <c r="G38" s="33"/>
    </row>
    <row r="39" customFormat="false" ht="15" hidden="false" customHeight="false" outlineLevel="0" collapsed="false">
      <c r="A39" s="18" t="s">
        <v>145</v>
      </c>
      <c r="B39" s="18" t="s">
        <v>142</v>
      </c>
      <c r="C39" s="30" t="n">
        <v>0.25</v>
      </c>
      <c r="D39" s="33"/>
      <c r="E39" s="33"/>
      <c r="F39" s="33"/>
      <c r="G39" s="33"/>
    </row>
    <row r="40" customFormat="false" ht="15" hidden="false" customHeight="false" outlineLevel="0" collapsed="false">
      <c r="A40" s="18" t="s">
        <v>146</v>
      </c>
      <c r="B40" s="18" t="s">
        <v>142</v>
      </c>
      <c r="C40" s="30" t="n">
        <v>0.15</v>
      </c>
      <c r="D40" s="33"/>
      <c r="E40" s="33"/>
      <c r="F40" s="33"/>
      <c r="G40" s="33"/>
    </row>
    <row r="41" customFormat="false" ht="15" hidden="false" customHeight="false" outlineLevel="0" collapsed="false">
      <c r="A41" s="34" t="s">
        <v>147</v>
      </c>
      <c r="C41" s="35" t="n">
        <f aca="false">SUM(C37:C40)</f>
        <v>1</v>
      </c>
    </row>
    <row r="43" customFormat="false" ht="19.5" hidden="false" customHeight="true" outlineLevel="0" collapsed="false">
      <c r="A43" s="17" t="s">
        <v>148</v>
      </c>
      <c r="B43" s="6"/>
      <c r="C43" s="6"/>
      <c r="D43" s="6"/>
      <c r="E43" s="6"/>
      <c r="F43" s="6"/>
      <c r="G43" s="6"/>
    </row>
    <row r="44" customFormat="false" ht="30" hidden="false" customHeight="true" outlineLevel="0" collapsed="false">
      <c r="A44" s="22" t="s">
        <v>107</v>
      </c>
      <c r="B44" s="23" t="s">
        <v>84</v>
      </c>
      <c r="C44" s="23" t="s">
        <v>108</v>
      </c>
      <c r="D44" s="23" t="s">
        <v>88</v>
      </c>
      <c r="E44" s="23"/>
      <c r="F44" s="23"/>
      <c r="G44" s="23"/>
    </row>
    <row r="45" customFormat="false" ht="15" hidden="false" customHeight="true" outlineLevel="0" collapsed="false">
      <c r="A45" s="18" t="s">
        <v>149</v>
      </c>
      <c r="B45" s="18" t="s">
        <v>77</v>
      </c>
      <c r="C45" s="36" t="n">
        <v>6</v>
      </c>
      <c r="D45" s="16" t="s">
        <v>150</v>
      </c>
      <c r="E45" s="16"/>
      <c r="F45" s="16"/>
      <c r="G45" s="16"/>
    </row>
    <row r="46" customFormat="false" ht="15" hidden="false" customHeight="true" outlineLevel="0" collapsed="false">
      <c r="A46" s="18" t="s">
        <v>151</v>
      </c>
      <c r="B46" s="18" t="s">
        <v>152</v>
      </c>
      <c r="C46" s="24" t="n">
        <v>0.062</v>
      </c>
      <c r="D46" s="16" t="s">
        <v>153</v>
      </c>
      <c r="E46" s="16"/>
      <c r="F46" s="16"/>
      <c r="G46" s="16"/>
    </row>
    <row r="47" customFormat="false" ht="15" hidden="false" customHeight="true" outlineLevel="0" collapsed="false">
      <c r="A47" s="18" t="s">
        <v>154</v>
      </c>
      <c r="B47" s="18" t="s">
        <v>101</v>
      </c>
      <c r="C47" s="28" t="n">
        <v>184500</v>
      </c>
      <c r="D47" s="16" t="s">
        <v>155</v>
      </c>
      <c r="E47" s="16"/>
      <c r="F47" s="16"/>
      <c r="G47" s="16"/>
    </row>
    <row r="48" customFormat="false" ht="15" hidden="false" customHeight="true" outlineLevel="0" collapsed="false">
      <c r="A48" s="18" t="s">
        <v>156</v>
      </c>
      <c r="B48" s="18" t="s">
        <v>101</v>
      </c>
      <c r="C48" s="28" t="n">
        <v>192300</v>
      </c>
      <c r="D48" s="16" t="s">
        <v>157</v>
      </c>
      <c r="E48" s="16"/>
      <c r="F48" s="16"/>
      <c r="G48" s="16"/>
    </row>
    <row r="49" customFormat="false" ht="15" hidden="false" customHeight="true" outlineLevel="0" collapsed="false">
      <c r="A49" s="18" t="s">
        <v>158</v>
      </c>
      <c r="B49" s="18" t="s">
        <v>101</v>
      </c>
      <c r="C49" s="37" t="n">
        <f aca="false">C46*(C48-C47)</f>
        <v>483.6</v>
      </c>
      <c r="D49" s="16" t="s">
        <v>159</v>
      </c>
      <c r="E49" s="16"/>
      <c r="F49" s="16"/>
      <c r="G49" s="16"/>
    </row>
    <row r="50" customFormat="false" ht="15" hidden="false" customHeight="true" outlineLevel="0" collapsed="false">
      <c r="A50" s="34" t="s">
        <v>160</v>
      </c>
      <c r="B50" s="18" t="s">
        <v>101</v>
      </c>
      <c r="C50" s="38" t="n">
        <f aca="false">C45*C49</f>
        <v>2901.6</v>
      </c>
      <c r="D50" s="16" t="s">
        <v>161</v>
      </c>
      <c r="E50" s="16"/>
      <c r="F50" s="16"/>
      <c r="G50" s="16"/>
    </row>
    <row r="52" customFormat="false" ht="19.5" hidden="false" customHeight="true" outlineLevel="0" collapsed="false">
      <c r="A52" s="17" t="s">
        <v>162</v>
      </c>
      <c r="B52" s="6"/>
      <c r="C52" s="6"/>
      <c r="D52" s="6"/>
      <c r="E52" s="6"/>
      <c r="F52" s="6"/>
      <c r="G52" s="6"/>
    </row>
    <row r="53" customFormat="false" ht="30" hidden="false" customHeight="true" outlineLevel="0" collapsed="false">
      <c r="A53" s="22" t="s">
        <v>107</v>
      </c>
      <c r="B53" s="23" t="s">
        <v>84</v>
      </c>
      <c r="C53" s="23" t="s">
        <v>108</v>
      </c>
      <c r="D53" s="23" t="s">
        <v>88</v>
      </c>
      <c r="E53" s="23"/>
      <c r="F53" s="23"/>
      <c r="G53" s="23"/>
    </row>
    <row r="54" customFormat="false" ht="15" hidden="false" customHeight="true" outlineLevel="0" collapsed="false">
      <c r="A54" s="18" t="s">
        <v>163</v>
      </c>
      <c r="B54" s="18" t="s">
        <v>164</v>
      </c>
      <c r="C54" s="28" t="n">
        <v>846500</v>
      </c>
      <c r="D54" s="16" t="s">
        <v>165</v>
      </c>
      <c r="E54" s="16"/>
      <c r="F54" s="16"/>
      <c r="G54" s="16"/>
    </row>
    <row r="55" customFormat="false" ht="15" hidden="false" customHeight="true" outlineLevel="0" collapsed="false">
      <c r="A55" s="18" t="s">
        <v>166</v>
      </c>
      <c r="B55" s="18" t="s">
        <v>167</v>
      </c>
      <c r="C55" s="30" t="n">
        <v>0.02</v>
      </c>
      <c r="D55" s="16" t="s">
        <v>168</v>
      </c>
      <c r="E55" s="16"/>
      <c r="F55" s="16"/>
      <c r="G55" s="16"/>
    </row>
    <row r="57" customFormat="false" ht="19.5" hidden="false" customHeight="true" outlineLevel="0" collapsed="false">
      <c r="A57" s="17" t="s">
        <v>169</v>
      </c>
      <c r="B57" s="6"/>
      <c r="C57" s="6"/>
      <c r="D57" s="6"/>
      <c r="E57" s="6"/>
      <c r="F57" s="6"/>
      <c r="G57" s="6"/>
    </row>
    <row r="58" customFormat="false" ht="30" hidden="false" customHeight="true" outlineLevel="0" collapsed="false">
      <c r="A58" s="22" t="s">
        <v>170</v>
      </c>
      <c r="B58" s="23" t="s">
        <v>171</v>
      </c>
      <c r="C58" s="23" t="s">
        <v>172</v>
      </c>
      <c r="D58" s="23" t="s">
        <v>88</v>
      </c>
      <c r="E58" s="23"/>
      <c r="F58" s="23"/>
      <c r="G58" s="23"/>
    </row>
    <row r="59" customFormat="false" ht="15" hidden="false" customHeight="true" outlineLevel="0" collapsed="false">
      <c r="A59" s="18" t="s">
        <v>173</v>
      </c>
      <c r="B59" s="39" t="n">
        <v>1</v>
      </c>
      <c r="C59" s="20" t="n">
        <v>120</v>
      </c>
      <c r="D59" s="16" t="s">
        <v>174</v>
      </c>
      <c r="E59" s="16"/>
      <c r="F59" s="16"/>
      <c r="G59" s="16"/>
    </row>
    <row r="60" customFormat="false" ht="15" hidden="false" customHeight="false" outlineLevel="0" collapsed="false">
      <c r="A60" s="18" t="s">
        <v>175</v>
      </c>
      <c r="B60" s="39" t="n">
        <v>2</v>
      </c>
      <c r="C60" s="20" t="n">
        <v>121</v>
      </c>
      <c r="D60" s="33"/>
      <c r="E60" s="33"/>
      <c r="F60" s="33"/>
      <c r="G60" s="33"/>
    </row>
    <row r="61" customFormat="false" ht="15" hidden="false" customHeight="false" outlineLevel="0" collapsed="false">
      <c r="A61" s="18" t="s">
        <v>176</v>
      </c>
      <c r="B61" s="39" t="n">
        <v>3</v>
      </c>
      <c r="C61" s="20" t="n">
        <v>121</v>
      </c>
      <c r="D61" s="33"/>
      <c r="E61" s="33"/>
      <c r="F61" s="33"/>
      <c r="G61" s="33"/>
    </row>
    <row r="62" customFormat="false" ht="15" hidden="false" customHeight="false" outlineLevel="0" collapsed="false">
      <c r="A62" s="18" t="s">
        <v>177</v>
      </c>
      <c r="B62" s="39" t="n">
        <v>4</v>
      </c>
      <c r="C62" s="20" t="n">
        <v>122</v>
      </c>
      <c r="D62" s="33"/>
      <c r="E62" s="33"/>
      <c r="F62" s="33"/>
      <c r="G62" s="33"/>
    </row>
    <row r="63" customFormat="false" ht="15" hidden="false" customHeight="false" outlineLevel="0" collapsed="false">
      <c r="A63" s="18" t="s">
        <v>178</v>
      </c>
      <c r="B63" s="39" t="n">
        <v>5</v>
      </c>
      <c r="C63" s="20" t="n">
        <v>123</v>
      </c>
      <c r="D63" s="33"/>
      <c r="E63" s="33"/>
      <c r="F63" s="33"/>
      <c r="G63" s="33"/>
    </row>
    <row r="64" customFormat="false" ht="15" hidden="false" customHeight="false" outlineLevel="0" collapsed="false">
      <c r="A64" s="18" t="s">
        <v>179</v>
      </c>
      <c r="B64" s="39" t="n">
        <v>6</v>
      </c>
      <c r="C64" s="20" t="n">
        <v>123</v>
      </c>
      <c r="D64" s="33"/>
      <c r="E64" s="33"/>
      <c r="F64" s="33"/>
      <c r="G64" s="33"/>
    </row>
    <row r="65" customFormat="false" ht="15" hidden="false" customHeight="false" outlineLevel="0" collapsed="false">
      <c r="A65" s="18" t="s">
        <v>180</v>
      </c>
      <c r="B65" s="39" t="n">
        <v>7</v>
      </c>
      <c r="C65" s="20" t="n">
        <v>124</v>
      </c>
      <c r="D65" s="33"/>
      <c r="E65" s="33"/>
      <c r="F65" s="33"/>
      <c r="G65" s="33"/>
    </row>
    <row r="66" customFormat="false" ht="15" hidden="false" customHeight="false" outlineLevel="0" collapsed="false">
      <c r="A66" s="18" t="s">
        <v>181</v>
      </c>
      <c r="B66" s="39" t="n">
        <v>8</v>
      </c>
      <c r="C66" s="20" t="n">
        <v>124</v>
      </c>
      <c r="D66" s="33"/>
      <c r="E66" s="33"/>
      <c r="F66" s="33"/>
      <c r="G66" s="33"/>
    </row>
    <row r="67" customFormat="false" ht="15" hidden="false" customHeight="false" outlineLevel="0" collapsed="false">
      <c r="A67" s="18" t="s">
        <v>182</v>
      </c>
      <c r="B67" s="39" t="n">
        <v>9</v>
      </c>
      <c r="C67" s="20" t="n">
        <v>125</v>
      </c>
      <c r="D67" s="33"/>
      <c r="E67" s="33"/>
      <c r="F67" s="33"/>
      <c r="G67" s="33"/>
    </row>
    <row r="68" customFormat="false" ht="15" hidden="false" customHeight="false" outlineLevel="0" collapsed="false">
      <c r="A68" s="18" t="s">
        <v>183</v>
      </c>
      <c r="B68" s="39" t="n">
        <v>10</v>
      </c>
      <c r="C68" s="20" t="n">
        <v>125</v>
      </c>
      <c r="D68" s="33"/>
      <c r="E68" s="33"/>
      <c r="F68" s="33"/>
      <c r="G68" s="33"/>
    </row>
    <row r="69" customFormat="false" ht="15" hidden="false" customHeight="false" outlineLevel="0" collapsed="false">
      <c r="A69" s="18" t="s">
        <v>184</v>
      </c>
      <c r="B69" s="39" t="n">
        <v>11</v>
      </c>
      <c r="C69" s="20" t="n">
        <v>126</v>
      </c>
      <c r="D69" s="33"/>
      <c r="E69" s="33"/>
      <c r="F69" s="33"/>
      <c r="G69" s="33"/>
    </row>
    <row r="70" customFormat="false" ht="15" hidden="false" customHeight="false" outlineLevel="0" collapsed="false">
      <c r="A70" s="18" t="s">
        <v>185</v>
      </c>
      <c r="B70" s="39" t="n">
        <v>12</v>
      </c>
      <c r="C70" s="20" t="n">
        <v>126</v>
      </c>
      <c r="D70" s="33"/>
      <c r="E70" s="33"/>
      <c r="F70" s="33"/>
      <c r="G70" s="33"/>
    </row>
    <row r="71" customFormat="false" ht="15" hidden="false" customHeight="false" outlineLevel="0" collapsed="false">
      <c r="A71" s="34" t="s">
        <v>186</v>
      </c>
      <c r="C71" s="40" t="n">
        <f aca="false">SUM(C59:C70)</f>
        <v>1480</v>
      </c>
    </row>
    <row r="72" customFormat="false" ht="15" hidden="false" customHeight="false" outlineLevel="0" collapsed="false">
      <c r="A72" s="34" t="s">
        <v>187</v>
      </c>
      <c r="C72" s="40" t="n">
        <f aca="false">AVERAGE(C59:C70)</f>
        <v>123.333333333333</v>
      </c>
    </row>
    <row r="73" customFormat="false" ht="15" hidden="false" customHeight="false" outlineLevel="0" collapsed="false">
      <c r="A73" s="18" t="s">
        <v>188</v>
      </c>
      <c r="C73" s="41" t="n">
        <f aca="false">C70-C8</f>
        <v>6</v>
      </c>
    </row>
  </sheetData>
  <mergeCells count="47">
    <mergeCell ref="A2:G2"/>
    <mergeCell ref="A3:G3"/>
    <mergeCell ref="D6:G6"/>
    <mergeCell ref="D7:G7"/>
    <mergeCell ref="D8:G8"/>
    <mergeCell ref="D9:G9"/>
    <mergeCell ref="D21:G21"/>
    <mergeCell ref="D22:G22"/>
    <mergeCell ref="D23:G23"/>
    <mergeCell ref="D24:G24"/>
    <mergeCell ref="D25:G25"/>
    <mergeCell ref="D26:G26"/>
    <mergeCell ref="D27:G27"/>
    <mergeCell ref="D28:G28"/>
    <mergeCell ref="D29:G29"/>
    <mergeCell ref="D30:G30"/>
    <mergeCell ref="D31:G31"/>
    <mergeCell ref="D32:G32"/>
    <mergeCell ref="D33:G33"/>
    <mergeCell ref="D36:G36"/>
    <mergeCell ref="D37:G37"/>
    <mergeCell ref="D38:G38"/>
    <mergeCell ref="D39:G39"/>
    <mergeCell ref="D40:G40"/>
    <mergeCell ref="D44:G44"/>
    <mergeCell ref="D45:G45"/>
    <mergeCell ref="D46:G46"/>
    <mergeCell ref="D47:G47"/>
    <mergeCell ref="D48:G48"/>
    <mergeCell ref="D49:G49"/>
    <mergeCell ref="D50:G50"/>
    <mergeCell ref="D53:G53"/>
    <mergeCell ref="D54:G54"/>
    <mergeCell ref="D55:G55"/>
    <mergeCell ref="D58:G58"/>
    <mergeCell ref="D59:G59"/>
    <mergeCell ref="D60:G60"/>
    <mergeCell ref="D61:G61"/>
    <mergeCell ref="D62:G62"/>
    <mergeCell ref="D63:G63"/>
    <mergeCell ref="D64:G64"/>
    <mergeCell ref="D65:G65"/>
    <mergeCell ref="D66:G66"/>
    <mergeCell ref="D67:G67"/>
    <mergeCell ref="D68:G68"/>
    <mergeCell ref="D69:G69"/>
    <mergeCell ref="D70:G70"/>
  </mergeCells>
  <conditionalFormatting sqref="C8">
    <cfRule type="expression" priority="2" aboveAverage="0" equalAverage="0" bottom="0" percent="0" rank="0" text="" dxfId="0">
      <formula>ISTEXT(C8)</formula>
    </cfRule>
  </conditionalFormatting>
  <conditionalFormatting sqref="C13:E18">
    <cfRule type="expression" priority="3" aboveAverage="0" equalAverage="0" bottom="0" percent="0" rank="0" text="" dxfId="0">
      <formula>ISTEXT(C13)</formula>
    </cfRule>
  </conditionalFormatting>
  <conditionalFormatting sqref="C22:C32">
    <cfRule type="expression" priority="4" aboveAverage="0" equalAverage="0" bottom="0" percent="0" rank="0" text="" dxfId="0">
      <formula>ISTEXT(C22)</formula>
    </cfRule>
  </conditionalFormatting>
  <conditionalFormatting sqref="C37:C40">
    <cfRule type="expression" priority="5" aboveAverage="0" equalAverage="0" bottom="0" percent="0" rank="0" text="" dxfId="0">
      <formula>ISTEXT(C37)</formula>
    </cfRule>
  </conditionalFormatting>
  <conditionalFormatting sqref="C45:C48">
    <cfRule type="expression" priority="6" aboveAverage="0" equalAverage="0" bottom="0" percent="0" rank="0" text="" dxfId="0">
      <formula>ISTEXT(C45)</formula>
    </cfRule>
  </conditionalFormatting>
  <conditionalFormatting sqref="C54:C55">
    <cfRule type="expression" priority="7" aboveAverage="0" equalAverage="0" bottom="0" percent="0" rank="0" text="" dxfId="0">
      <formula>ISTEXT(C54)</formula>
    </cfRule>
  </conditionalFormatting>
  <conditionalFormatting sqref="C59:C70">
    <cfRule type="expression" priority="8" aboveAverage="0" equalAverage="0" bottom="0" percent="0" rank="0" text="" dxfId="0">
      <formula>ISTEXT(C59)</formula>
    </cfRule>
  </conditionalFormatting>
  <dataValidations count="6">
    <dataValidation allowBlank="false" error="Pick Low, Base or High." errorStyle="stop" errorTitle="Scenario" operator="between" prompt="Pick Low, Base or High." promptTitle="Scenario" showDropDown="false" showErrorMessage="true" showInputMessage="true" sqref="C7" type="list">
      <formula1>"Low,Base,High"</formula1>
      <formula2>0</formula2>
    </dataValidation>
    <dataValidation allowBlank="false" error="Pick from the list." errorStyle="stop" errorTitle="Contingency scope" operator="between" prompt="Pick from the list." promptTitle="Contingency scope" showDropDown="false" showErrorMessage="true" showInputMessage="true" sqref="C33" type="list">
      <formula1>"All cost lines,All except base pay"</formula1>
      <formula2>0</formula2>
    </dataValidation>
    <dataValidation allowBlank="false" error="Enter a whole number from 1 (January) to 12 (December)." errorStyle="stop" errorTitle="Month number" operator="between" prompt="Enter a whole number from 1 (January) to 12 (December)." promptTitle="Month number" showDropDown="false" showErrorMessage="true" showInputMessage="true" sqref="C24:C25" type="whole">
      <formula1>1</formula1>
      <formula2>12</formula2>
    </dataValidation>
    <dataValidation allowBlank="true" error="Enter a percentage between 0% and 100%." errorStyle="stop" errorTitle="Percentage" operator="between" prompt="Enter a percentage between 0% and 100%." promptTitle="Percentage" showDropDown="false" showErrorMessage="true" showInputMessage="true" sqref="C13:E14 C18:E18 C23 C26:C27 C37:C40 C46 C55" type="decimal">
      <formula1>0</formula1>
      <formula2>1</formula2>
    </dataValidation>
    <dataValidation allowBlank="true" error="Enter a percentage between -50% and 100%." errorStyle="stop" errorTitle="Benefits trend" operator="between" prompt="Enter a percentage between -50% and 100%." promptTitle="Benefits trend" showDropDown="false" showErrorMessage="true" showInputMessage="true" sqref="C15:E15" type="decimal">
      <formula1>-0.5</formula1>
      <formula2>1</formula2>
    </dataValidation>
    <dataValidation allowBlank="true" error="Enter zero or a positive number." errorStyle="stop" errorTitle="Amount" operator="greaterThanOrEqual" prompt="Enter zero or a positive number." promptTitle="Amount" showDropDown="false" showErrorMessage="true" showInputMessage="true" sqref="C8 C16:E17 C22 C28:C32 C45 C47:C48 C54 C59:C70" type="decimal">
      <formula1>0</formula1>
      <formula2>0</formula2>
    </dataValidation>
  </dataValidations>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9"/>
    <col collapsed="false" customWidth="true" hidden="false" outlineLevel="0" max="4" min="4" style="0" width="13"/>
    <col collapsed="false" customWidth="true" hidden="false" outlineLevel="0" max="5" min="5" style="0" width="17"/>
    <col collapsed="false" customWidth="true" hidden="false" outlineLevel="0" max="7" min="6" style="0" width="13"/>
    <col collapsed="false" customWidth="true" hidden="false" outlineLevel="0" max="8" min="8" style="0" width="17"/>
    <col collapsed="false" customWidth="true" hidden="false" outlineLevel="0" max="9" min="9" style="0" width="15"/>
    <col collapsed="false" customWidth="true" hidden="false" outlineLevel="0" max="10" min="10" style="0" width="17"/>
    <col collapsed="false" customWidth="true" hidden="false" outlineLevel="0" max="12" min="11" style="0" width="15"/>
    <col collapsed="false" customWidth="true" hidden="false" outlineLevel="0" max="13" min="13" style="0" width="16"/>
  </cols>
  <sheetData>
    <row r="1" customFormat="false" ht="25.5" hidden="false" customHeight="true" outlineLevel="0" collapsed="false">
      <c r="A1" s="1" t="s">
        <v>189</v>
      </c>
    </row>
    <row r="2" customFormat="false" ht="15" hidden="false" customHeight="false" outlineLevel="0" collapsed="false">
      <c r="A2" s="42" t="str">
        <f aca="false">"Scenario: "&amp;Assumptions!$C$7&amp;"   |   Currency: "&amp;Assumptions!$C$6&amp;"   |   Merit from month "&amp;Assumptions!$C$24&amp;", promotions from month "&amp;Assumptions!$C$25</f>
        <v>Scenario: Base   |   Currency: USD   |   Merit from month 4, promotions from month 7</v>
      </c>
    </row>
    <row r="3" customFormat="false" ht="15" hidden="false" customHeight="false" outlineLevel="0" collapsed="false">
      <c r="A3" s="43" t="s">
        <v>190</v>
      </c>
    </row>
    <row r="4" customFormat="false" ht="43.5" hidden="false" customHeight="true" outlineLevel="0" collapsed="false">
      <c r="A4" s="22" t="s">
        <v>171</v>
      </c>
      <c r="B4" s="23" t="s">
        <v>170</v>
      </c>
      <c r="C4" s="23" t="s">
        <v>139</v>
      </c>
      <c r="D4" s="23" t="s">
        <v>172</v>
      </c>
      <c r="E4" s="23" t="s">
        <v>191</v>
      </c>
      <c r="F4" s="23" t="s">
        <v>192</v>
      </c>
      <c r="G4" s="23" t="s">
        <v>193</v>
      </c>
      <c r="H4" s="23" t="s">
        <v>194</v>
      </c>
      <c r="I4" s="23" t="s">
        <v>195</v>
      </c>
      <c r="J4" s="23" t="s">
        <v>196</v>
      </c>
      <c r="K4" s="23" t="s">
        <v>197</v>
      </c>
      <c r="L4" s="23" t="s">
        <v>198</v>
      </c>
      <c r="M4" s="23" t="s">
        <v>199</v>
      </c>
    </row>
    <row r="5" customFormat="false" ht="15" hidden="false" customHeight="false" outlineLevel="0" collapsed="false">
      <c r="A5" s="39" t="n">
        <v>1</v>
      </c>
      <c r="B5" s="44" t="s">
        <v>173</v>
      </c>
      <c r="C5" s="11" t="str">
        <f aca="false">"Q"&amp;ROUNDUP(A5/3,0)</f>
        <v>Q1</v>
      </c>
      <c r="D5" s="41" t="n">
        <f aca="false">Assumptions!$C$59</f>
        <v>120</v>
      </c>
      <c r="E5" s="45" t="n">
        <f aca="false">D5*Assumptions!$C$22/12</f>
        <v>850000</v>
      </c>
      <c r="F5" s="45" t="n">
        <f aca="false">IF($A5&gt;=Assumptions!$C$24,E5*Assumptions!$F$13*Assumptions!$C$23,0)</f>
        <v>0</v>
      </c>
      <c r="G5" s="45" t="n">
        <f aca="false">IF($A5&gt;=Assumptions!$C$25,E5*Assumptions!$F$14,0)</f>
        <v>0</v>
      </c>
      <c r="H5" s="45" t="n">
        <f aca="false">E5+F5+G5</f>
        <v>850000</v>
      </c>
      <c r="I5" s="45" t="n">
        <f aca="false">H5*Assumptions!$C$26</f>
        <v>68000</v>
      </c>
      <c r="J5" s="45" t="n">
        <f aca="false">Assumptions!$C$50/12</f>
        <v>241.8</v>
      </c>
      <c r="K5" s="45" t="n">
        <f aca="false">H5*Assumptions!$C$27</f>
        <v>34000</v>
      </c>
      <c r="L5" s="45" t="n">
        <f aca="false">D5*Assumptions!$C$28*(1+Assumptions!$F$15)/12</f>
        <v>118800</v>
      </c>
      <c r="M5" s="45" t="n">
        <f aca="false">H5+I5+J5+K5+L5</f>
        <v>1071041.8</v>
      </c>
    </row>
    <row r="6" customFormat="false" ht="15" hidden="false" customHeight="false" outlineLevel="0" collapsed="false">
      <c r="A6" s="39" t="n">
        <v>2</v>
      </c>
      <c r="B6" s="44" t="s">
        <v>175</v>
      </c>
      <c r="C6" s="11" t="str">
        <f aca="false">"Q"&amp;ROUNDUP(A6/3,0)</f>
        <v>Q1</v>
      </c>
      <c r="D6" s="41" t="n">
        <f aca="false">Assumptions!$C$60</f>
        <v>121</v>
      </c>
      <c r="E6" s="45" t="n">
        <f aca="false">D6*Assumptions!$C$22/12</f>
        <v>857083.333333333</v>
      </c>
      <c r="F6" s="45" t="n">
        <f aca="false">IF($A6&gt;=Assumptions!$C$24,E6*Assumptions!$F$13*Assumptions!$C$23,0)</f>
        <v>0</v>
      </c>
      <c r="G6" s="45" t="n">
        <f aca="false">IF($A6&gt;=Assumptions!$C$25,E6*Assumptions!$F$14,0)</f>
        <v>0</v>
      </c>
      <c r="H6" s="45" t="n">
        <f aca="false">E6+F6+G6</f>
        <v>857083.333333333</v>
      </c>
      <c r="I6" s="45" t="n">
        <f aca="false">H6*Assumptions!$C$26</f>
        <v>68566.6666666667</v>
      </c>
      <c r="J6" s="45" t="n">
        <f aca="false">Assumptions!$C$50/12</f>
        <v>241.8</v>
      </c>
      <c r="K6" s="45" t="n">
        <f aca="false">H6*Assumptions!$C$27</f>
        <v>34283.3333333333</v>
      </c>
      <c r="L6" s="45" t="n">
        <f aca="false">D6*Assumptions!$C$28*(1+Assumptions!$F$15)/12</f>
        <v>119790</v>
      </c>
      <c r="M6" s="45" t="n">
        <f aca="false">H6+I6+J6+K6+L6</f>
        <v>1079965.13333333</v>
      </c>
    </row>
    <row r="7" customFormat="false" ht="15" hidden="false" customHeight="false" outlineLevel="0" collapsed="false">
      <c r="A7" s="39" t="n">
        <v>3</v>
      </c>
      <c r="B7" s="44" t="s">
        <v>176</v>
      </c>
      <c r="C7" s="11" t="str">
        <f aca="false">"Q"&amp;ROUNDUP(A7/3,0)</f>
        <v>Q1</v>
      </c>
      <c r="D7" s="41" t="n">
        <f aca="false">Assumptions!$C$61</f>
        <v>121</v>
      </c>
      <c r="E7" s="45" t="n">
        <f aca="false">D7*Assumptions!$C$22/12</f>
        <v>857083.333333333</v>
      </c>
      <c r="F7" s="45" t="n">
        <f aca="false">IF($A7&gt;=Assumptions!$C$24,E7*Assumptions!$F$13*Assumptions!$C$23,0)</f>
        <v>0</v>
      </c>
      <c r="G7" s="45" t="n">
        <f aca="false">IF($A7&gt;=Assumptions!$C$25,E7*Assumptions!$F$14,0)</f>
        <v>0</v>
      </c>
      <c r="H7" s="45" t="n">
        <f aca="false">E7+F7+G7</f>
        <v>857083.333333333</v>
      </c>
      <c r="I7" s="45" t="n">
        <f aca="false">H7*Assumptions!$C$26</f>
        <v>68566.6666666667</v>
      </c>
      <c r="J7" s="45" t="n">
        <f aca="false">Assumptions!$C$50/12</f>
        <v>241.8</v>
      </c>
      <c r="K7" s="45" t="n">
        <f aca="false">H7*Assumptions!$C$27</f>
        <v>34283.3333333333</v>
      </c>
      <c r="L7" s="45" t="n">
        <f aca="false">D7*Assumptions!$C$28*(1+Assumptions!$F$15)/12</f>
        <v>119790</v>
      </c>
      <c r="M7" s="45" t="n">
        <f aca="false">H7+I7+J7+K7+L7</f>
        <v>1079965.13333333</v>
      </c>
    </row>
    <row r="8" customFormat="false" ht="15" hidden="false" customHeight="false" outlineLevel="0" collapsed="false">
      <c r="A8" s="39" t="n">
        <v>4</v>
      </c>
      <c r="B8" s="44" t="s">
        <v>177</v>
      </c>
      <c r="C8" s="11" t="str">
        <f aca="false">"Q"&amp;ROUNDUP(A8/3,0)</f>
        <v>Q2</v>
      </c>
      <c r="D8" s="41" t="n">
        <f aca="false">Assumptions!$C$62</f>
        <v>122</v>
      </c>
      <c r="E8" s="45" t="n">
        <f aca="false">D8*Assumptions!$C$22/12</f>
        <v>864166.666666667</v>
      </c>
      <c r="F8" s="45" t="n">
        <f aca="false">IF($A8&gt;=Assumptions!$C$24,E8*Assumptions!$F$13*Assumptions!$C$23,0)</f>
        <v>27221.25</v>
      </c>
      <c r="G8" s="45" t="n">
        <f aca="false">IF($A8&gt;=Assumptions!$C$25,E8*Assumptions!$F$14,0)</f>
        <v>0</v>
      </c>
      <c r="H8" s="45" t="n">
        <f aca="false">E8+F8+G8</f>
        <v>891387.916666667</v>
      </c>
      <c r="I8" s="45" t="n">
        <f aca="false">H8*Assumptions!$C$26</f>
        <v>71311.0333333333</v>
      </c>
      <c r="J8" s="45" t="n">
        <f aca="false">Assumptions!$C$50/12</f>
        <v>241.8</v>
      </c>
      <c r="K8" s="45" t="n">
        <f aca="false">H8*Assumptions!$C$27</f>
        <v>35655.5166666667</v>
      </c>
      <c r="L8" s="45" t="n">
        <f aca="false">D8*Assumptions!$C$28*(1+Assumptions!$F$15)/12</f>
        <v>120780</v>
      </c>
      <c r="M8" s="45" t="n">
        <f aca="false">H8+I8+J8+K8+L8</f>
        <v>1119376.26666667</v>
      </c>
    </row>
    <row r="9" customFormat="false" ht="15" hidden="false" customHeight="false" outlineLevel="0" collapsed="false">
      <c r="A9" s="39" t="n">
        <v>5</v>
      </c>
      <c r="B9" s="44" t="s">
        <v>178</v>
      </c>
      <c r="C9" s="11" t="str">
        <f aca="false">"Q"&amp;ROUNDUP(A9/3,0)</f>
        <v>Q2</v>
      </c>
      <c r="D9" s="41" t="n">
        <f aca="false">Assumptions!$C$63</f>
        <v>123</v>
      </c>
      <c r="E9" s="45" t="n">
        <f aca="false">D9*Assumptions!$C$22/12</f>
        <v>871250</v>
      </c>
      <c r="F9" s="45" t="n">
        <f aca="false">IF($A9&gt;=Assumptions!$C$24,E9*Assumptions!$F$13*Assumptions!$C$23,0)</f>
        <v>27444.375</v>
      </c>
      <c r="G9" s="45" t="n">
        <f aca="false">IF($A9&gt;=Assumptions!$C$25,E9*Assumptions!$F$14,0)</f>
        <v>0</v>
      </c>
      <c r="H9" s="45" t="n">
        <f aca="false">E9+F9+G9</f>
        <v>898694.375</v>
      </c>
      <c r="I9" s="45" t="n">
        <f aca="false">H9*Assumptions!$C$26</f>
        <v>71895.55</v>
      </c>
      <c r="J9" s="45" t="n">
        <f aca="false">Assumptions!$C$50/12</f>
        <v>241.8</v>
      </c>
      <c r="K9" s="45" t="n">
        <f aca="false">H9*Assumptions!$C$27</f>
        <v>35947.775</v>
      </c>
      <c r="L9" s="45" t="n">
        <f aca="false">D9*Assumptions!$C$28*(1+Assumptions!$F$15)/12</f>
        <v>121770</v>
      </c>
      <c r="M9" s="45" t="n">
        <f aca="false">H9+I9+J9+K9+L9</f>
        <v>1128549.5</v>
      </c>
    </row>
    <row r="10" customFormat="false" ht="15" hidden="false" customHeight="false" outlineLevel="0" collapsed="false">
      <c r="A10" s="39" t="n">
        <v>6</v>
      </c>
      <c r="B10" s="44" t="s">
        <v>179</v>
      </c>
      <c r="C10" s="11" t="str">
        <f aca="false">"Q"&amp;ROUNDUP(A10/3,0)</f>
        <v>Q2</v>
      </c>
      <c r="D10" s="41" t="n">
        <f aca="false">Assumptions!$C$64</f>
        <v>123</v>
      </c>
      <c r="E10" s="45" t="n">
        <f aca="false">D10*Assumptions!$C$22/12</f>
        <v>871250</v>
      </c>
      <c r="F10" s="45" t="n">
        <f aca="false">IF($A10&gt;=Assumptions!$C$24,E10*Assumptions!$F$13*Assumptions!$C$23,0)</f>
        <v>27444.375</v>
      </c>
      <c r="G10" s="45" t="n">
        <f aca="false">IF($A10&gt;=Assumptions!$C$25,E10*Assumptions!$F$14,0)</f>
        <v>0</v>
      </c>
      <c r="H10" s="45" t="n">
        <f aca="false">E10+F10+G10</f>
        <v>898694.375</v>
      </c>
      <c r="I10" s="45" t="n">
        <f aca="false">H10*Assumptions!$C$26</f>
        <v>71895.55</v>
      </c>
      <c r="J10" s="45" t="n">
        <f aca="false">Assumptions!$C$50/12</f>
        <v>241.8</v>
      </c>
      <c r="K10" s="45" t="n">
        <f aca="false">H10*Assumptions!$C$27</f>
        <v>35947.775</v>
      </c>
      <c r="L10" s="45" t="n">
        <f aca="false">D10*Assumptions!$C$28*(1+Assumptions!$F$15)/12</f>
        <v>121770</v>
      </c>
      <c r="M10" s="45" t="n">
        <f aca="false">H10+I10+J10+K10+L10</f>
        <v>1128549.5</v>
      </c>
    </row>
    <row r="11" customFormat="false" ht="15" hidden="false" customHeight="false" outlineLevel="0" collapsed="false">
      <c r="A11" s="39" t="n">
        <v>7</v>
      </c>
      <c r="B11" s="44" t="s">
        <v>180</v>
      </c>
      <c r="C11" s="11" t="str">
        <f aca="false">"Q"&amp;ROUNDUP(A11/3,0)</f>
        <v>Q3</v>
      </c>
      <c r="D11" s="41" t="n">
        <f aca="false">Assumptions!$C$65</f>
        <v>124</v>
      </c>
      <c r="E11" s="45" t="n">
        <f aca="false">D11*Assumptions!$C$22/12</f>
        <v>878333.333333333</v>
      </c>
      <c r="F11" s="45" t="n">
        <f aca="false">IF($A11&gt;=Assumptions!$C$24,E11*Assumptions!$F$13*Assumptions!$C$23,0)</f>
        <v>27667.5</v>
      </c>
      <c r="G11" s="45" t="n">
        <f aca="false">IF($A11&gt;=Assumptions!$C$25,E11*Assumptions!$F$14,0)</f>
        <v>8783.33333333333</v>
      </c>
      <c r="H11" s="45" t="n">
        <f aca="false">E11+F11+G11</f>
        <v>914784.166666667</v>
      </c>
      <c r="I11" s="45" t="n">
        <f aca="false">H11*Assumptions!$C$26</f>
        <v>73182.7333333333</v>
      </c>
      <c r="J11" s="45" t="n">
        <f aca="false">Assumptions!$C$50/12</f>
        <v>241.8</v>
      </c>
      <c r="K11" s="45" t="n">
        <f aca="false">H11*Assumptions!$C$27</f>
        <v>36591.3666666667</v>
      </c>
      <c r="L11" s="45" t="n">
        <f aca="false">D11*Assumptions!$C$28*(1+Assumptions!$F$15)/12</f>
        <v>122760</v>
      </c>
      <c r="M11" s="45" t="n">
        <f aca="false">H11+I11+J11+K11+L11</f>
        <v>1147560.06666667</v>
      </c>
    </row>
    <row r="12" customFormat="false" ht="15" hidden="false" customHeight="false" outlineLevel="0" collapsed="false">
      <c r="A12" s="39" t="n">
        <v>8</v>
      </c>
      <c r="B12" s="44" t="s">
        <v>181</v>
      </c>
      <c r="C12" s="11" t="str">
        <f aca="false">"Q"&amp;ROUNDUP(A12/3,0)</f>
        <v>Q3</v>
      </c>
      <c r="D12" s="41" t="n">
        <f aca="false">Assumptions!$C$66</f>
        <v>124</v>
      </c>
      <c r="E12" s="45" t="n">
        <f aca="false">D12*Assumptions!$C$22/12</f>
        <v>878333.333333333</v>
      </c>
      <c r="F12" s="45" t="n">
        <f aca="false">IF($A12&gt;=Assumptions!$C$24,E12*Assumptions!$F$13*Assumptions!$C$23,0)</f>
        <v>27667.5</v>
      </c>
      <c r="G12" s="45" t="n">
        <f aca="false">IF($A12&gt;=Assumptions!$C$25,E12*Assumptions!$F$14,0)</f>
        <v>8783.33333333333</v>
      </c>
      <c r="H12" s="45" t="n">
        <f aca="false">E12+F12+G12</f>
        <v>914784.166666667</v>
      </c>
      <c r="I12" s="45" t="n">
        <f aca="false">H12*Assumptions!$C$26</f>
        <v>73182.7333333333</v>
      </c>
      <c r="J12" s="45" t="n">
        <f aca="false">Assumptions!$C$50/12</f>
        <v>241.8</v>
      </c>
      <c r="K12" s="45" t="n">
        <f aca="false">H12*Assumptions!$C$27</f>
        <v>36591.3666666667</v>
      </c>
      <c r="L12" s="45" t="n">
        <f aca="false">D12*Assumptions!$C$28*(1+Assumptions!$F$15)/12</f>
        <v>122760</v>
      </c>
      <c r="M12" s="45" t="n">
        <f aca="false">H12+I12+J12+K12+L12</f>
        <v>1147560.06666667</v>
      </c>
    </row>
    <row r="13" customFormat="false" ht="15" hidden="false" customHeight="false" outlineLevel="0" collapsed="false">
      <c r="A13" s="39" t="n">
        <v>9</v>
      </c>
      <c r="B13" s="44" t="s">
        <v>182</v>
      </c>
      <c r="C13" s="11" t="str">
        <f aca="false">"Q"&amp;ROUNDUP(A13/3,0)</f>
        <v>Q3</v>
      </c>
      <c r="D13" s="41" t="n">
        <f aca="false">Assumptions!$C$67</f>
        <v>125</v>
      </c>
      <c r="E13" s="45" t="n">
        <f aca="false">D13*Assumptions!$C$22/12</f>
        <v>885416.666666667</v>
      </c>
      <c r="F13" s="45" t="n">
        <f aca="false">IF($A13&gt;=Assumptions!$C$24,E13*Assumptions!$F$13*Assumptions!$C$23,0)</f>
        <v>27890.625</v>
      </c>
      <c r="G13" s="45" t="n">
        <f aca="false">IF($A13&gt;=Assumptions!$C$25,E13*Assumptions!$F$14,0)</f>
        <v>8854.16666666667</v>
      </c>
      <c r="H13" s="45" t="n">
        <f aca="false">E13+F13+G13</f>
        <v>922161.458333333</v>
      </c>
      <c r="I13" s="45" t="n">
        <f aca="false">H13*Assumptions!$C$26</f>
        <v>73772.9166666667</v>
      </c>
      <c r="J13" s="45" t="n">
        <f aca="false">Assumptions!$C$50/12</f>
        <v>241.8</v>
      </c>
      <c r="K13" s="45" t="n">
        <f aca="false">H13*Assumptions!$C$27</f>
        <v>36886.4583333333</v>
      </c>
      <c r="L13" s="45" t="n">
        <f aca="false">D13*Assumptions!$C$28*(1+Assumptions!$F$15)/12</f>
        <v>123750</v>
      </c>
      <c r="M13" s="45" t="n">
        <f aca="false">H13+I13+J13+K13+L13</f>
        <v>1156812.63333333</v>
      </c>
    </row>
    <row r="14" customFormat="false" ht="15" hidden="false" customHeight="false" outlineLevel="0" collapsed="false">
      <c r="A14" s="39" t="n">
        <v>10</v>
      </c>
      <c r="B14" s="44" t="s">
        <v>183</v>
      </c>
      <c r="C14" s="11" t="str">
        <f aca="false">"Q"&amp;ROUNDUP(A14/3,0)</f>
        <v>Q4</v>
      </c>
      <c r="D14" s="41" t="n">
        <f aca="false">Assumptions!$C$68</f>
        <v>125</v>
      </c>
      <c r="E14" s="45" t="n">
        <f aca="false">D14*Assumptions!$C$22/12</f>
        <v>885416.666666667</v>
      </c>
      <c r="F14" s="45" t="n">
        <f aca="false">IF($A14&gt;=Assumptions!$C$24,E14*Assumptions!$F$13*Assumptions!$C$23,0)</f>
        <v>27890.625</v>
      </c>
      <c r="G14" s="45" t="n">
        <f aca="false">IF($A14&gt;=Assumptions!$C$25,E14*Assumptions!$F$14,0)</f>
        <v>8854.16666666667</v>
      </c>
      <c r="H14" s="45" t="n">
        <f aca="false">E14+F14+G14</f>
        <v>922161.458333333</v>
      </c>
      <c r="I14" s="45" t="n">
        <f aca="false">H14*Assumptions!$C$26</f>
        <v>73772.9166666667</v>
      </c>
      <c r="J14" s="45" t="n">
        <f aca="false">Assumptions!$C$50/12</f>
        <v>241.8</v>
      </c>
      <c r="K14" s="45" t="n">
        <f aca="false">H14*Assumptions!$C$27</f>
        <v>36886.4583333333</v>
      </c>
      <c r="L14" s="45" t="n">
        <f aca="false">D14*Assumptions!$C$28*(1+Assumptions!$F$15)/12</f>
        <v>123750</v>
      </c>
      <c r="M14" s="45" t="n">
        <f aca="false">H14+I14+J14+K14+L14</f>
        <v>1156812.63333333</v>
      </c>
    </row>
    <row r="15" customFormat="false" ht="15" hidden="false" customHeight="false" outlineLevel="0" collapsed="false">
      <c r="A15" s="39" t="n">
        <v>11</v>
      </c>
      <c r="B15" s="44" t="s">
        <v>184</v>
      </c>
      <c r="C15" s="11" t="str">
        <f aca="false">"Q"&amp;ROUNDUP(A15/3,0)</f>
        <v>Q4</v>
      </c>
      <c r="D15" s="41" t="n">
        <f aca="false">Assumptions!$C$69</f>
        <v>126</v>
      </c>
      <c r="E15" s="45" t="n">
        <f aca="false">D15*Assumptions!$C$22/12</f>
        <v>892500</v>
      </c>
      <c r="F15" s="45" t="n">
        <f aca="false">IF($A15&gt;=Assumptions!$C$24,E15*Assumptions!$F$13*Assumptions!$C$23,0)</f>
        <v>28113.75</v>
      </c>
      <c r="G15" s="45" t="n">
        <f aca="false">IF($A15&gt;=Assumptions!$C$25,E15*Assumptions!$F$14,0)</f>
        <v>8925</v>
      </c>
      <c r="H15" s="45" t="n">
        <f aca="false">E15+F15+G15</f>
        <v>929538.75</v>
      </c>
      <c r="I15" s="45" t="n">
        <f aca="false">H15*Assumptions!$C$26</f>
        <v>74363.1</v>
      </c>
      <c r="J15" s="45" t="n">
        <f aca="false">Assumptions!$C$50/12</f>
        <v>241.8</v>
      </c>
      <c r="K15" s="45" t="n">
        <f aca="false">H15*Assumptions!$C$27</f>
        <v>37181.55</v>
      </c>
      <c r="L15" s="45" t="n">
        <f aca="false">D15*Assumptions!$C$28*(1+Assumptions!$F$15)/12</f>
        <v>124740</v>
      </c>
      <c r="M15" s="45" t="n">
        <f aca="false">H15+I15+J15+K15+L15</f>
        <v>1166065.2</v>
      </c>
    </row>
    <row r="16" customFormat="false" ht="15" hidden="false" customHeight="false" outlineLevel="0" collapsed="false">
      <c r="A16" s="39" t="n">
        <v>12</v>
      </c>
      <c r="B16" s="44" t="s">
        <v>185</v>
      </c>
      <c r="C16" s="11" t="str">
        <f aca="false">"Q"&amp;ROUNDUP(A16/3,0)</f>
        <v>Q4</v>
      </c>
      <c r="D16" s="41" t="n">
        <f aca="false">Assumptions!$C$70</f>
        <v>126</v>
      </c>
      <c r="E16" s="45" t="n">
        <f aca="false">D16*Assumptions!$C$22/12</f>
        <v>892500</v>
      </c>
      <c r="F16" s="45" t="n">
        <f aca="false">IF($A16&gt;=Assumptions!$C$24,E16*Assumptions!$F$13*Assumptions!$C$23,0)</f>
        <v>28113.75</v>
      </c>
      <c r="G16" s="45" t="n">
        <f aca="false">IF($A16&gt;=Assumptions!$C$25,E16*Assumptions!$F$14,0)</f>
        <v>8925</v>
      </c>
      <c r="H16" s="45" t="n">
        <f aca="false">E16+F16+G16</f>
        <v>929538.75</v>
      </c>
      <c r="I16" s="45" t="n">
        <f aca="false">H16*Assumptions!$C$26</f>
        <v>74363.1</v>
      </c>
      <c r="J16" s="45" t="n">
        <f aca="false">Assumptions!$C$50/12</f>
        <v>241.8</v>
      </c>
      <c r="K16" s="45" t="n">
        <f aca="false">H16*Assumptions!$C$27</f>
        <v>37181.55</v>
      </c>
      <c r="L16" s="45" t="n">
        <f aca="false">D16*Assumptions!$C$28*(1+Assumptions!$F$15)/12</f>
        <v>124740</v>
      </c>
      <c r="M16" s="45" t="n">
        <f aca="false">H16+I16+J16+K16+L16</f>
        <v>1166065.2</v>
      </c>
    </row>
    <row r="17" customFormat="false" ht="15" hidden="false" customHeight="false" outlineLevel="0" collapsed="false">
      <c r="A17" s="46" t="s">
        <v>200</v>
      </c>
      <c r="B17" s="46"/>
      <c r="C17" s="46"/>
      <c r="D17" s="40" t="n">
        <f aca="false">AVERAGE(D5:D16)</f>
        <v>123.333333333333</v>
      </c>
      <c r="E17" s="47" t="n">
        <f aca="false">SUM(E5:E16)</f>
        <v>10483333.3333333</v>
      </c>
      <c r="F17" s="47" t="n">
        <f aca="false">SUM(F5:F16)</f>
        <v>249453.75</v>
      </c>
      <c r="G17" s="47" t="n">
        <f aca="false">SUM(G5:G16)</f>
        <v>53125</v>
      </c>
      <c r="H17" s="47" t="n">
        <f aca="false">SUM(H5:H16)</f>
        <v>10785912.0833333</v>
      </c>
      <c r="I17" s="47" t="n">
        <f aca="false">SUM(I5:I16)</f>
        <v>862872.966666667</v>
      </c>
      <c r="J17" s="47" t="n">
        <f aca="false">SUM(J5:J16)</f>
        <v>2901.6</v>
      </c>
      <c r="K17" s="47" t="n">
        <f aca="false">SUM(K5:K16)</f>
        <v>431436.483333333</v>
      </c>
      <c r="L17" s="47" t="n">
        <f aca="false">SUM(L5:L16)</f>
        <v>1465200</v>
      </c>
      <c r="M17" s="47" t="n">
        <f aca="false">SUM(M5:M16)</f>
        <v>13548323.1333333</v>
      </c>
    </row>
  </sheetData>
  <mergeCells count="1">
    <mergeCell ref="A17:C17"/>
  </mergeCells>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9"/>
    <col collapsed="false" customWidth="true" hidden="false" outlineLevel="0" max="4" min="4" style="0" width="13"/>
    <col collapsed="false" customWidth="true" hidden="false" outlineLevel="0" max="5" min="5" style="0" width="12"/>
    <col collapsed="false" customWidth="true" hidden="false" outlineLevel="0" max="9" min="6" style="0" width="15"/>
    <col collapsed="false" customWidth="true" hidden="false" outlineLevel="0" max="10" min="10" style="0" width="17"/>
  </cols>
  <sheetData>
    <row r="1" customFormat="false" ht="25.5" hidden="false" customHeight="true" outlineLevel="0" collapsed="false">
      <c r="A1" s="1" t="s">
        <v>201</v>
      </c>
    </row>
    <row r="2" customFormat="false" ht="15" hidden="false" customHeight="false" outlineLevel="0" collapsed="false">
      <c r="A2" s="42" t="str">
        <f aca="false">"Scenario: "&amp;Assumptions!$C$7&amp;"   |   Currency: "&amp;Assumptions!$C$6</f>
        <v>Scenario: Base   |   Currency: USD</v>
      </c>
    </row>
    <row r="3" customFormat="false" ht="15" hidden="false" customHeight="false" outlineLevel="0" collapsed="false">
      <c r="A3" s="43" t="s">
        <v>202</v>
      </c>
    </row>
    <row r="4" customFormat="false" ht="43.5" hidden="false" customHeight="true" outlineLevel="0" collapsed="false">
      <c r="A4" s="22" t="s">
        <v>171</v>
      </c>
      <c r="B4" s="23" t="s">
        <v>170</v>
      </c>
      <c r="C4" s="23" t="s">
        <v>139</v>
      </c>
      <c r="D4" s="23" t="s">
        <v>172</v>
      </c>
      <c r="E4" s="23" t="s">
        <v>203</v>
      </c>
      <c r="F4" s="23" t="s">
        <v>204</v>
      </c>
      <c r="G4" s="23" t="s">
        <v>205</v>
      </c>
      <c r="H4" s="23" t="s">
        <v>206</v>
      </c>
      <c r="I4" s="23" t="s">
        <v>207</v>
      </c>
      <c r="J4" s="23" t="s">
        <v>208</v>
      </c>
    </row>
    <row r="5" customFormat="false" ht="15" hidden="false" customHeight="false" outlineLevel="0" collapsed="false">
      <c r="A5" s="39" t="n">
        <v>1</v>
      </c>
      <c r="B5" s="44" t="s">
        <v>173</v>
      </c>
      <c r="C5" s="11" t="str">
        <f aca="false">"Q"&amp;ROUNDUP(A5/3,0)</f>
        <v>Q1</v>
      </c>
      <c r="D5" s="41" t="n">
        <f aca="false">Assumptions!$C$59</f>
        <v>120</v>
      </c>
      <c r="E5" s="37" t="n">
        <f aca="false">Assumptions!$F$16*CHOOSE(ROUNDUP($A5/3,0),Assumptions!$C$37,Assumptions!$C$38,Assumptions!$C$39,Assumptions!$C$40)/3</f>
        <v>2.4</v>
      </c>
      <c r="F5" s="45" t="n">
        <f aca="false">E5*Assumptions!$F$17</f>
        <v>9600</v>
      </c>
      <c r="G5" s="45" t="n">
        <f aca="false">D5*Assumptions!$C$29/12</f>
        <v>9000</v>
      </c>
      <c r="H5" s="45" t="n">
        <f aca="false">Assumptions!$C$30/12+D5*Assumptions!$C$31</f>
        <v>4680</v>
      </c>
      <c r="I5" s="45" t="n">
        <f aca="false">Assumptions!$C$32/12</f>
        <v>2000</v>
      </c>
      <c r="J5" s="45" t="n">
        <f aca="false">F5+G5+H5+I5</f>
        <v>25280</v>
      </c>
    </row>
    <row r="6" customFormat="false" ht="15" hidden="false" customHeight="false" outlineLevel="0" collapsed="false">
      <c r="A6" s="39" t="n">
        <v>2</v>
      </c>
      <c r="B6" s="44" t="s">
        <v>175</v>
      </c>
      <c r="C6" s="11" t="str">
        <f aca="false">"Q"&amp;ROUNDUP(A6/3,0)</f>
        <v>Q1</v>
      </c>
      <c r="D6" s="41" t="n">
        <f aca="false">Assumptions!$C$60</f>
        <v>121</v>
      </c>
      <c r="E6" s="37" t="n">
        <f aca="false">Assumptions!$F$16*CHOOSE(ROUNDUP($A6/3,0),Assumptions!$C$37,Assumptions!$C$38,Assumptions!$C$39,Assumptions!$C$40)/3</f>
        <v>2.4</v>
      </c>
      <c r="F6" s="45" t="n">
        <f aca="false">E6*Assumptions!$F$17</f>
        <v>9600</v>
      </c>
      <c r="G6" s="45" t="n">
        <f aca="false">D6*Assumptions!$C$29/12</f>
        <v>9075</v>
      </c>
      <c r="H6" s="45" t="n">
        <f aca="false">Assumptions!$C$30/12+D6*Assumptions!$C$31</f>
        <v>4694</v>
      </c>
      <c r="I6" s="45" t="n">
        <f aca="false">Assumptions!$C$32/12</f>
        <v>2000</v>
      </c>
      <c r="J6" s="45" t="n">
        <f aca="false">F6+G6+H6+I6</f>
        <v>25369</v>
      </c>
    </row>
    <row r="7" customFormat="false" ht="15" hidden="false" customHeight="false" outlineLevel="0" collapsed="false">
      <c r="A7" s="39" t="n">
        <v>3</v>
      </c>
      <c r="B7" s="44" t="s">
        <v>176</v>
      </c>
      <c r="C7" s="11" t="str">
        <f aca="false">"Q"&amp;ROUNDUP(A7/3,0)</f>
        <v>Q1</v>
      </c>
      <c r="D7" s="41" t="n">
        <f aca="false">Assumptions!$C$61</f>
        <v>121</v>
      </c>
      <c r="E7" s="37" t="n">
        <f aca="false">Assumptions!$F$16*CHOOSE(ROUNDUP($A7/3,0),Assumptions!$C$37,Assumptions!$C$38,Assumptions!$C$39,Assumptions!$C$40)/3</f>
        <v>2.4</v>
      </c>
      <c r="F7" s="45" t="n">
        <f aca="false">E7*Assumptions!$F$17</f>
        <v>9600</v>
      </c>
      <c r="G7" s="45" t="n">
        <f aca="false">D7*Assumptions!$C$29/12</f>
        <v>9075</v>
      </c>
      <c r="H7" s="45" t="n">
        <f aca="false">Assumptions!$C$30/12+D7*Assumptions!$C$31</f>
        <v>4694</v>
      </c>
      <c r="I7" s="45" t="n">
        <f aca="false">Assumptions!$C$32/12</f>
        <v>2000</v>
      </c>
      <c r="J7" s="45" t="n">
        <f aca="false">F7+G7+H7+I7</f>
        <v>25369</v>
      </c>
    </row>
    <row r="8" customFormat="false" ht="15" hidden="false" customHeight="false" outlineLevel="0" collapsed="false">
      <c r="A8" s="39" t="n">
        <v>4</v>
      </c>
      <c r="B8" s="44" t="s">
        <v>177</v>
      </c>
      <c r="C8" s="11" t="str">
        <f aca="false">"Q"&amp;ROUNDUP(A8/3,0)</f>
        <v>Q2</v>
      </c>
      <c r="D8" s="41" t="n">
        <f aca="false">Assumptions!$C$62</f>
        <v>122</v>
      </c>
      <c r="E8" s="37" t="n">
        <f aca="false">Assumptions!$F$16*CHOOSE(ROUNDUP($A8/3,0),Assumptions!$C$37,Assumptions!$C$38,Assumptions!$C$39,Assumptions!$C$40)/3</f>
        <v>2.4</v>
      </c>
      <c r="F8" s="45" t="n">
        <f aca="false">E8*Assumptions!$F$17</f>
        <v>9600</v>
      </c>
      <c r="G8" s="45" t="n">
        <f aca="false">D8*Assumptions!$C$29/12</f>
        <v>9150</v>
      </c>
      <c r="H8" s="45" t="n">
        <f aca="false">Assumptions!$C$30/12+D8*Assumptions!$C$31</f>
        <v>4708</v>
      </c>
      <c r="I8" s="45" t="n">
        <f aca="false">Assumptions!$C$32/12</f>
        <v>2000</v>
      </c>
      <c r="J8" s="45" t="n">
        <f aca="false">F8+G8+H8+I8</f>
        <v>25458</v>
      </c>
    </row>
    <row r="9" customFormat="false" ht="15" hidden="false" customHeight="false" outlineLevel="0" collapsed="false">
      <c r="A9" s="39" t="n">
        <v>5</v>
      </c>
      <c r="B9" s="44" t="s">
        <v>178</v>
      </c>
      <c r="C9" s="11" t="str">
        <f aca="false">"Q"&amp;ROUNDUP(A9/3,0)</f>
        <v>Q2</v>
      </c>
      <c r="D9" s="41" t="n">
        <f aca="false">Assumptions!$C$63</f>
        <v>123</v>
      </c>
      <c r="E9" s="37" t="n">
        <f aca="false">Assumptions!$F$16*CHOOSE(ROUNDUP($A9/3,0),Assumptions!$C$37,Assumptions!$C$38,Assumptions!$C$39,Assumptions!$C$40)/3</f>
        <v>2.4</v>
      </c>
      <c r="F9" s="45" t="n">
        <f aca="false">E9*Assumptions!$F$17</f>
        <v>9600</v>
      </c>
      <c r="G9" s="45" t="n">
        <f aca="false">D9*Assumptions!$C$29/12</f>
        <v>9225</v>
      </c>
      <c r="H9" s="45" t="n">
        <f aca="false">Assumptions!$C$30/12+D9*Assumptions!$C$31</f>
        <v>4722</v>
      </c>
      <c r="I9" s="45" t="n">
        <f aca="false">Assumptions!$C$32/12</f>
        <v>2000</v>
      </c>
      <c r="J9" s="45" t="n">
        <f aca="false">F9+G9+H9+I9</f>
        <v>25547</v>
      </c>
    </row>
    <row r="10" customFormat="false" ht="15" hidden="false" customHeight="false" outlineLevel="0" collapsed="false">
      <c r="A10" s="39" t="n">
        <v>6</v>
      </c>
      <c r="B10" s="44" t="s">
        <v>179</v>
      </c>
      <c r="C10" s="11" t="str">
        <f aca="false">"Q"&amp;ROUNDUP(A10/3,0)</f>
        <v>Q2</v>
      </c>
      <c r="D10" s="41" t="n">
        <f aca="false">Assumptions!$C$64</f>
        <v>123</v>
      </c>
      <c r="E10" s="37" t="n">
        <f aca="false">Assumptions!$F$16*CHOOSE(ROUNDUP($A10/3,0),Assumptions!$C$37,Assumptions!$C$38,Assumptions!$C$39,Assumptions!$C$40)/3</f>
        <v>2.4</v>
      </c>
      <c r="F10" s="45" t="n">
        <f aca="false">E10*Assumptions!$F$17</f>
        <v>9600</v>
      </c>
      <c r="G10" s="45" t="n">
        <f aca="false">D10*Assumptions!$C$29/12</f>
        <v>9225</v>
      </c>
      <c r="H10" s="45" t="n">
        <f aca="false">Assumptions!$C$30/12+D10*Assumptions!$C$31</f>
        <v>4722</v>
      </c>
      <c r="I10" s="45" t="n">
        <f aca="false">Assumptions!$C$32/12</f>
        <v>2000</v>
      </c>
      <c r="J10" s="45" t="n">
        <f aca="false">F10+G10+H10+I10</f>
        <v>25547</v>
      </c>
    </row>
    <row r="11" customFormat="false" ht="15" hidden="false" customHeight="false" outlineLevel="0" collapsed="false">
      <c r="A11" s="39" t="n">
        <v>7</v>
      </c>
      <c r="B11" s="44" t="s">
        <v>180</v>
      </c>
      <c r="C11" s="11" t="str">
        <f aca="false">"Q"&amp;ROUNDUP(A11/3,0)</f>
        <v>Q3</v>
      </c>
      <c r="D11" s="41" t="n">
        <f aca="false">Assumptions!$C$65</f>
        <v>124</v>
      </c>
      <c r="E11" s="37" t="n">
        <f aca="false">Assumptions!$F$16*CHOOSE(ROUNDUP($A11/3,0),Assumptions!$C$37,Assumptions!$C$38,Assumptions!$C$39,Assumptions!$C$40)/3</f>
        <v>2</v>
      </c>
      <c r="F11" s="45" t="n">
        <f aca="false">E11*Assumptions!$F$17</f>
        <v>8000</v>
      </c>
      <c r="G11" s="45" t="n">
        <f aca="false">D11*Assumptions!$C$29/12</f>
        <v>9300</v>
      </c>
      <c r="H11" s="45" t="n">
        <f aca="false">Assumptions!$C$30/12+D11*Assumptions!$C$31</f>
        <v>4736</v>
      </c>
      <c r="I11" s="45" t="n">
        <f aca="false">Assumptions!$C$32/12</f>
        <v>2000</v>
      </c>
      <c r="J11" s="45" t="n">
        <f aca="false">F11+G11+H11+I11</f>
        <v>24036</v>
      </c>
    </row>
    <row r="12" customFormat="false" ht="15" hidden="false" customHeight="false" outlineLevel="0" collapsed="false">
      <c r="A12" s="39" t="n">
        <v>8</v>
      </c>
      <c r="B12" s="44" t="s">
        <v>181</v>
      </c>
      <c r="C12" s="11" t="str">
        <f aca="false">"Q"&amp;ROUNDUP(A12/3,0)</f>
        <v>Q3</v>
      </c>
      <c r="D12" s="41" t="n">
        <f aca="false">Assumptions!$C$66</f>
        <v>124</v>
      </c>
      <c r="E12" s="37" t="n">
        <f aca="false">Assumptions!$F$16*CHOOSE(ROUNDUP($A12/3,0),Assumptions!$C$37,Assumptions!$C$38,Assumptions!$C$39,Assumptions!$C$40)/3</f>
        <v>2</v>
      </c>
      <c r="F12" s="45" t="n">
        <f aca="false">E12*Assumptions!$F$17</f>
        <v>8000</v>
      </c>
      <c r="G12" s="45" t="n">
        <f aca="false">D12*Assumptions!$C$29/12</f>
        <v>9300</v>
      </c>
      <c r="H12" s="45" t="n">
        <f aca="false">Assumptions!$C$30/12+D12*Assumptions!$C$31</f>
        <v>4736</v>
      </c>
      <c r="I12" s="45" t="n">
        <f aca="false">Assumptions!$C$32/12</f>
        <v>2000</v>
      </c>
      <c r="J12" s="45" t="n">
        <f aca="false">F12+G12+H12+I12</f>
        <v>24036</v>
      </c>
    </row>
    <row r="13" customFormat="false" ht="15" hidden="false" customHeight="false" outlineLevel="0" collapsed="false">
      <c r="A13" s="39" t="n">
        <v>9</v>
      </c>
      <c r="B13" s="44" t="s">
        <v>182</v>
      </c>
      <c r="C13" s="11" t="str">
        <f aca="false">"Q"&amp;ROUNDUP(A13/3,0)</f>
        <v>Q3</v>
      </c>
      <c r="D13" s="41" t="n">
        <f aca="false">Assumptions!$C$67</f>
        <v>125</v>
      </c>
      <c r="E13" s="37" t="n">
        <f aca="false">Assumptions!$F$16*CHOOSE(ROUNDUP($A13/3,0),Assumptions!$C$37,Assumptions!$C$38,Assumptions!$C$39,Assumptions!$C$40)/3</f>
        <v>2</v>
      </c>
      <c r="F13" s="45" t="n">
        <f aca="false">E13*Assumptions!$F$17</f>
        <v>8000</v>
      </c>
      <c r="G13" s="45" t="n">
        <f aca="false">D13*Assumptions!$C$29/12</f>
        <v>9375</v>
      </c>
      <c r="H13" s="45" t="n">
        <f aca="false">Assumptions!$C$30/12+D13*Assumptions!$C$31</f>
        <v>4750</v>
      </c>
      <c r="I13" s="45" t="n">
        <f aca="false">Assumptions!$C$32/12</f>
        <v>2000</v>
      </c>
      <c r="J13" s="45" t="n">
        <f aca="false">F13+G13+H13+I13</f>
        <v>24125</v>
      </c>
    </row>
    <row r="14" customFormat="false" ht="15" hidden="false" customHeight="false" outlineLevel="0" collapsed="false">
      <c r="A14" s="39" t="n">
        <v>10</v>
      </c>
      <c r="B14" s="44" t="s">
        <v>183</v>
      </c>
      <c r="C14" s="11" t="str">
        <f aca="false">"Q"&amp;ROUNDUP(A14/3,0)</f>
        <v>Q4</v>
      </c>
      <c r="D14" s="41" t="n">
        <f aca="false">Assumptions!$C$68</f>
        <v>125</v>
      </c>
      <c r="E14" s="37" t="n">
        <f aca="false">Assumptions!$F$16*CHOOSE(ROUNDUP($A14/3,0),Assumptions!$C$37,Assumptions!$C$38,Assumptions!$C$39,Assumptions!$C$40)/3</f>
        <v>1.2</v>
      </c>
      <c r="F14" s="45" t="n">
        <f aca="false">E14*Assumptions!$F$17</f>
        <v>4800</v>
      </c>
      <c r="G14" s="45" t="n">
        <f aca="false">D14*Assumptions!$C$29/12</f>
        <v>9375</v>
      </c>
      <c r="H14" s="45" t="n">
        <f aca="false">Assumptions!$C$30/12+D14*Assumptions!$C$31</f>
        <v>4750</v>
      </c>
      <c r="I14" s="45" t="n">
        <f aca="false">Assumptions!$C$32/12</f>
        <v>2000</v>
      </c>
      <c r="J14" s="45" t="n">
        <f aca="false">F14+G14+H14+I14</f>
        <v>20925</v>
      </c>
    </row>
    <row r="15" customFormat="false" ht="15" hidden="false" customHeight="false" outlineLevel="0" collapsed="false">
      <c r="A15" s="39" t="n">
        <v>11</v>
      </c>
      <c r="B15" s="44" t="s">
        <v>184</v>
      </c>
      <c r="C15" s="11" t="str">
        <f aca="false">"Q"&amp;ROUNDUP(A15/3,0)</f>
        <v>Q4</v>
      </c>
      <c r="D15" s="41" t="n">
        <f aca="false">Assumptions!$C$69</f>
        <v>126</v>
      </c>
      <c r="E15" s="37" t="n">
        <f aca="false">Assumptions!$F$16*CHOOSE(ROUNDUP($A15/3,0),Assumptions!$C$37,Assumptions!$C$38,Assumptions!$C$39,Assumptions!$C$40)/3</f>
        <v>1.2</v>
      </c>
      <c r="F15" s="45" t="n">
        <f aca="false">E15*Assumptions!$F$17</f>
        <v>4800</v>
      </c>
      <c r="G15" s="45" t="n">
        <f aca="false">D15*Assumptions!$C$29/12</f>
        <v>9450</v>
      </c>
      <c r="H15" s="45" t="n">
        <f aca="false">Assumptions!$C$30/12+D15*Assumptions!$C$31</f>
        <v>4764</v>
      </c>
      <c r="I15" s="45" t="n">
        <f aca="false">Assumptions!$C$32/12</f>
        <v>2000</v>
      </c>
      <c r="J15" s="45" t="n">
        <f aca="false">F15+G15+H15+I15</f>
        <v>21014</v>
      </c>
    </row>
    <row r="16" customFormat="false" ht="15" hidden="false" customHeight="false" outlineLevel="0" collapsed="false">
      <c r="A16" s="39" t="n">
        <v>12</v>
      </c>
      <c r="B16" s="44" t="s">
        <v>185</v>
      </c>
      <c r="C16" s="11" t="str">
        <f aca="false">"Q"&amp;ROUNDUP(A16/3,0)</f>
        <v>Q4</v>
      </c>
      <c r="D16" s="41" t="n">
        <f aca="false">Assumptions!$C$70</f>
        <v>126</v>
      </c>
      <c r="E16" s="37" t="n">
        <f aca="false">Assumptions!$F$16*CHOOSE(ROUNDUP($A16/3,0),Assumptions!$C$37,Assumptions!$C$38,Assumptions!$C$39,Assumptions!$C$40)/3</f>
        <v>1.2</v>
      </c>
      <c r="F16" s="45" t="n">
        <f aca="false">E16*Assumptions!$F$17</f>
        <v>4800</v>
      </c>
      <c r="G16" s="45" t="n">
        <f aca="false">D16*Assumptions!$C$29/12</f>
        <v>9450</v>
      </c>
      <c r="H16" s="45" t="n">
        <f aca="false">Assumptions!$C$30/12+D16*Assumptions!$C$31</f>
        <v>4764</v>
      </c>
      <c r="I16" s="45" t="n">
        <f aca="false">Assumptions!$C$32/12</f>
        <v>2000</v>
      </c>
      <c r="J16" s="45" t="n">
        <f aca="false">F16+G16+H16+I16</f>
        <v>21014</v>
      </c>
    </row>
    <row r="17" customFormat="false" ht="15" hidden="false" customHeight="false" outlineLevel="0" collapsed="false">
      <c r="A17" s="46" t="s">
        <v>200</v>
      </c>
      <c r="B17" s="46"/>
      <c r="C17" s="46"/>
      <c r="D17" s="40" t="n">
        <f aca="false">AVERAGE(D5:D16)</f>
        <v>123.333333333333</v>
      </c>
      <c r="E17" s="38" t="n">
        <f aca="false">SUM(E5:E16)</f>
        <v>24</v>
      </c>
      <c r="F17" s="47" t="n">
        <f aca="false">SUM(F5:F16)</f>
        <v>96000</v>
      </c>
      <c r="G17" s="47" t="n">
        <f aca="false">SUM(G5:G16)</f>
        <v>111000</v>
      </c>
      <c r="H17" s="47" t="n">
        <f aca="false">SUM(H5:H16)</f>
        <v>56720</v>
      </c>
      <c r="I17" s="47" t="n">
        <f aca="false">SUM(I5:I16)</f>
        <v>24000</v>
      </c>
      <c r="J17" s="47" t="n">
        <f aca="false">SUM(J5:J16)</f>
        <v>287720</v>
      </c>
    </row>
  </sheetData>
  <mergeCells count="1">
    <mergeCell ref="A17:C17"/>
  </mergeCells>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2" min="2" style="0" width="16"/>
    <col collapsed="false" customWidth="true" hidden="false" outlineLevel="0" max="3" min="3" style="0" width="18"/>
    <col collapsed="false" customWidth="true" hidden="false" outlineLevel="0" max="7" min="4" style="0" width="15"/>
  </cols>
  <sheetData>
    <row r="1" customFormat="false" ht="25.5" hidden="false" customHeight="true" outlineLevel="0" collapsed="false">
      <c r="A1" s="1" t="s">
        <v>209</v>
      </c>
    </row>
    <row r="2" customFormat="false" ht="15" hidden="false" customHeight="false" outlineLevel="0" collapsed="false">
      <c r="A2" s="42" t="str">
        <f aca="false">"Scenario: "&amp;Assumptions!$C$7&amp;"   |   Currency: "&amp;Assumptions!$C$6&amp;"   |   Average headcount: "&amp;TEXT('People cost'!$D$17,"0.0")</f>
        <v>Scenario: Base   |   Currency: USD   |   Average headcount: 123.3</v>
      </c>
    </row>
    <row r="3" customFormat="false" ht="15" hidden="false" customHeight="false" outlineLevel="0" collapsed="false">
      <c r="A3" s="2" t="str">
        <f aca="false">"Checks: "&amp;IF(Checks!$C$3=0,"ALL OK",Checks!$C$3&amp;" FAILING, see the Checks sheet")</f>
        <v>Checks: ALL OK</v>
      </c>
    </row>
    <row r="4" customFormat="false" ht="15" hidden="false" customHeight="false" outlineLevel="0" collapsed="false">
      <c r="A4" s="2" t="str">
        <f aca="false">IFERROR("Total budget 2027: "&amp;TEXT($B$17,"#,##0")&amp;" "&amp;Assumptions!$C$6&amp;IF(ISNUMBER($E$17)," ("&amp;TEXT($E$17,"+0.0%;-0.0%")&amp;" on 2026 actual)",IF(AND(COUNT($C$7:$C$9,$C$11:$C$14,$C$16)&gt;0,COUNT($C$7:$C$9,$C$11:$C$14)&lt;7)," (2026 actuals incomplete, no comparison)",""))&amp;"; per head "&amp;IFERROR(TEXT($G$17,"#,##0"),"n/a"),"Total budget 2027: see the Checks sheet")</f>
        <v>Total budget 2027: 13,897,046 USD (+12.8% on 2026 actual); per head 112,679</v>
      </c>
    </row>
    <row r="5" customFormat="false" ht="19.5" hidden="false" customHeight="true" outlineLevel="0" collapsed="false">
      <c r="A5" s="17" t="s">
        <v>210</v>
      </c>
      <c r="B5" s="6"/>
      <c r="C5" s="6"/>
      <c r="D5" s="6"/>
      <c r="E5" s="6"/>
      <c r="F5" s="6"/>
      <c r="G5" s="6"/>
    </row>
    <row r="6" customFormat="false" ht="31.5" hidden="false" customHeight="true" outlineLevel="0" collapsed="false">
      <c r="A6" s="22" t="s">
        <v>211</v>
      </c>
      <c r="B6" s="23" t="s">
        <v>212</v>
      </c>
      <c r="C6" s="23" t="s">
        <v>213</v>
      </c>
      <c r="D6" s="23" t="s">
        <v>214</v>
      </c>
      <c r="E6" s="23" t="s">
        <v>215</v>
      </c>
      <c r="F6" s="23" t="s">
        <v>216</v>
      </c>
      <c r="G6" s="23" t="s">
        <v>217</v>
      </c>
    </row>
    <row r="7" customFormat="false" ht="15" hidden="false" customHeight="false" outlineLevel="0" collapsed="false">
      <c r="A7" s="18" t="s">
        <v>218</v>
      </c>
      <c r="B7" s="45" t="n">
        <f aca="false">'People cost'!H17</f>
        <v>10785912.0833333</v>
      </c>
      <c r="C7" s="28" t="n">
        <v>9630000</v>
      </c>
      <c r="D7" s="45" t="n">
        <f aca="false">IF(ISNUMBER(C7),B7-C7,"n/a")</f>
        <v>1155912.08333333</v>
      </c>
      <c r="E7" s="48" t="n">
        <f aca="false">IF(ISNUMBER(C7),IF(C7=0,"n/a",B7/C7-1),"n/a")</f>
        <v>0.120032407407408</v>
      </c>
      <c r="F7" s="48" t="n">
        <f aca="false">IFERROR(B7/$B$17,"n/a")</f>
        <v>0.776129853351753</v>
      </c>
      <c r="G7" s="45" t="n">
        <f aca="false">IFERROR(B7/'People cost'!$D$17,"n/a")</f>
        <v>87453.3412162162</v>
      </c>
    </row>
    <row r="8" customFormat="false" ht="15" hidden="false" customHeight="false" outlineLevel="0" collapsed="false">
      <c r="A8" s="18" t="s">
        <v>219</v>
      </c>
      <c r="B8" s="45" t="n">
        <f aca="false">'People cost'!I17+'People cost'!J17</f>
        <v>865774.566666667</v>
      </c>
      <c r="C8" s="28" t="n">
        <v>770000</v>
      </c>
      <c r="D8" s="45" t="n">
        <f aca="false">IF(ISNUMBER(C8),B8-C8,"n/a")</f>
        <v>95774.5666666667</v>
      </c>
      <c r="E8" s="48" t="n">
        <f aca="false">IF(ISNUMBER(C8),IF(C8=0,"n/a",B8/C8-1),"n/a")</f>
        <v>0.124382554112554</v>
      </c>
      <c r="F8" s="48" t="n">
        <f aca="false">IFERROR(B8/$B$17,"n/a")</f>
        <v>0.0622991808454472</v>
      </c>
      <c r="G8" s="45" t="n">
        <f aca="false">IFERROR(B8/'People cost'!$D$17,"n/a")</f>
        <v>7019.79378378378</v>
      </c>
    </row>
    <row r="9" customFormat="false" ht="15" hidden="false" customHeight="false" outlineLevel="0" collapsed="false">
      <c r="A9" s="18" t="s">
        <v>220</v>
      </c>
      <c r="B9" s="45" t="n">
        <f aca="false">'People cost'!K17+'People cost'!L17</f>
        <v>1896636.48333333</v>
      </c>
      <c r="C9" s="28" t="n">
        <v>1660000</v>
      </c>
      <c r="D9" s="45" t="n">
        <f aca="false">IF(ISNUMBER(C9),B9-C9,"n/a")</f>
        <v>236636.483333333</v>
      </c>
      <c r="E9" s="48" t="n">
        <f aca="false">IF(ISNUMBER(C9),IF(C9=0,"n/a",B9/C9-1),"n/a")</f>
        <v>0.142552098393574</v>
      </c>
      <c r="F9" s="48" t="n">
        <f aca="false">IFERROR(B9/$B$17,"n/a")</f>
        <v>0.136477674238205</v>
      </c>
      <c r="G9" s="45" t="n">
        <f aca="false">IFERROR(B9/'People cost'!$D$17,"n/a")</f>
        <v>15378.1336486486</v>
      </c>
    </row>
    <row r="10" customFormat="false" ht="15" hidden="false" customHeight="false" outlineLevel="0" collapsed="false">
      <c r="A10" s="34" t="s">
        <v>221</v>
      </c>
      <c r="B10" s="47" t="n">
        <f aca="false">SUM(B7:B9)</f>
        <v>13548323.1333333</v>
      </c>
      <c r="C10" s="47" t="n">
        <f aca="false">IF(COUNT(C7:C9)=3,SUM(C7:C9),IF(COUNT(C7:C9)=0,"","n/a"))</f>
        <v>12060000</v>
      </c>
      <c r="D10" s="47" t="n">
        <f aca="false">IF(ISNUMBER(C10),B10-C10,"n/a")</f>
        <v>1488323.13333333</v>
      </c>
      <c r="E10" s="35" t="n">
        <f aca="false">IF(ISNUMBER(C10),IF(C10=0,"n/a",B10/C10-1),"n/a")</f>
        <v>0.123409878385849</v>
      </c>
      <c r="F10" s="35" t="n">
        <f aca="false">IFERROR(B10/$B$17,"n/a")</f>
        <v>0.974906708435405</v>
      </c>
      <c r="G10" s="47" t="n">
        <f aca="false">IFERROR(B10/'People cost'!$D$17,"n/a")</f>
        <v>109851.268648649</v>
      </c>
    </row>
    <row r="11" customFormat="false" ht="15" hidden="false" customHeight="false" outlineLevel="0" collapsed="false">
      <c r="A11" s="18" t="s">
        <v>204</v>
      </c>
      <c r="B11" s="45" t="n">
        <f aca="false">'HR function'!F17</f>
        <v>96000</v>
      </c>
      <c r="C11" s="28" t="n">
        <v>80000</v>
      </c>
      <c r="D11" s="45" t="n">
        <f aca="false">IF(ISNUMBER(C11),B11-C11,"n/a")</f>
        <v>16000</v>
      </c>
      <c r="E11" s="48" t="n">
        <f aca="false">IF(ISNUMBER(C11),IF(C11=0,"n/a",B11/C11-1),"n/a")</f>
        <v>0.2</v>
      </c>
      <c r="F11" s="48" t="n">
        <f aca="false">IFERROR(B11/$B$17,"n/a")</f>
        <v>0.00690794300436592</v>
      </c>
      <c r="G11" s="45" t="n">
        <f aca="false">IFERROR(B11/'People cost'!$D$17,"n/a")</f>
        <v>778.378378378378</v>
      </c>
    </row>
    <row r="12" customFormat="false" ht="15" hidden="false" customHeight="false" outlineLevel="0" collapsed="false">
      <c r="A12" s="18" t="s">
        <v>205</v>
      </c>
      <c r="B12" s="45" t="n">
        <f aca="false">'HR function'!G17</f>
        <v>111000</v>
      </c>
      <c r="C12" s="28" t="n">
        <v>100000</v>
      </c>
      <c r="D12" s="45" t="n">
        <f aca="false">IF(ISNUMBER(C12),B12-C12,"n/a")</f>
        <v>11000</v>
      </c>
      <c r="E12" s="48" t="n">
        <f aca="false">IF(ISNUMBER(C12),IF(C12=0,"n/a",B12/C12-1),"n/a")</f>
        <v>0.11</v>
      </c>
      <c r="F12" s="48" t="n">
        <f aca="false">IFERROR(B12/$B$17,"n/a")</f>
        <v>0.00798730909879809</v>
      </c>
      <c r="G12" s="45" t="n">
        <f aca="false">IFERROR(B12/'People cost'!$D$17,"n/a")</f>
        <v>900</v>
      </c>
    </row>
    <row r="13" customFormat="false" ht="15" hidden="false" customHeight="false" outlineLevel="0" collapsed="false">
      <c r="A13" s="18" t="s">
        <v>206</v>
      </c>
      <c r="B13" s="45" t="n">
        <f aca="false">'HR function'!H17</f>
        <v>56720</v>
      </c>
      <c r="C13" s="28" t="n">
        <v>55000</v>
      </c>
      <c r="D13" s="45" t="n">
        <f aca="false">IF(ISNUMBER(C13),B13-C13,"n/a")</f>
        <v>1720</v>
      </c>
      <c r="E13" s="48" t="n">
        <f aca="false">IF(ISNUMBER(C13),IF(C13=0,"n/a",B13/C13-1),"n/a")</f>
        <v>0.0312727272727273</v>
      </c>
      <c r="F13" s="48" t="n">
        <f aca="false">IFERROR(B13/$B$17,"n/a")</f>
        <v>0.0040814429917462</v>
      </c>
      <c r="G13" s="45" t="n">
        <f aca="false">IFERROR(B13/'People cost'!$D$17,"n/a")</f>
        <v>459.891891891892</v>
      </c>
    </row>
    <row r="14" customFormat="false" ht="15" hidden="false" customHeight="false" outlineLevel="0" collapsed="false">
      <c r="A14" s="18" t="s">
        <v>222</v>
      </c>
      <c r="B14" s="45" t="n">
        <f aca="false">'HR function'!I17</f>
        <v>24000</v>
      </c>
      <c r="C14" s="28" t="n">
        <v>22000</v>
      </c>
      <c r="D14" s="45" t="n">
        <f aca="false">IF(ISNUMBER(C14),B14-C14,"n/a")</f>
        <v>2000</v>
      </c>
      <c r="E14" s="48" t="n">
        <f aca="false">IF(ISNUMBER(C14),IF(C14=0,"n/a",B14/C14-1),"n/a")</f>
        <v>0.0909090909090908</v>
      </c>
      <c r="F14" s="48" t="n">
        <f aca="false">IFERROR(B14/$B$17,"n/a")</f>
        <v>0.00172698575109148</v>
      </c>
      <c r="G14" s="45" t="n">
        <f aca="false">IFERROR(B14/'People cost'!$D$17,"n/a")</f>
        <v>194.594594594595</v>
      </c>
    </row>
    <row r="15" customFormat="false" ht="15" hidden="false" customHeight="false" outlineLevel="0" collapsed="false">
      <c r="A15" s="34" t="s">
        <v>223</v>
      </c>
      <c r="B15" s="47" t="n">
        <f aca="false">SUM(B11:B14)</f>
        <v>287720</v>
      </c>
      <c r="C15" s="47" t="n">
        <f aca="false">IF(COUNT(C11:C14)=4,SUM(C11:C14),IF(COUNT(C11:C14)=0,"","n/a"))</f>
        <v>257000</v>
      </c>
      <c r="D15" s="47" t="n">
        <f aca="false">IF(ISNUMBER(C15),B15-C15,"n/a")</f>
        <v>30720</v>
      </c>
      <c r="E15" s="35" t="n">
        <f aca="false">IF(ISNUMBER(C15),IF(C15=0,"n/a",B15/C15-1),"n/a")</f>
        <v>0.119533073929961</v>
      </c>
      <c r="F15" s="35" t="n">
        <f aca="false">IFERROR(B15/$B$17,"n/a")</f>
        <v>0.0207036808460017</v>
      </c>
      <c r="G15" s="47" t="n">
        <f aca="false">IFERROR(B15/'People cost'!$D$17,"n/a")</f>
        <v>2332.86486486487</v>
      </c>
    </row>
    <row r="16" customFormat="false" ht="15" hidden="false" customHeight="false" outlineLevel="0" collapsed="false">
      <c r="A16" s="18" t="s">
        <v>60</v>
      </c>
      <c r="B16" s="45" t="n">
        <f aca="false">Assumptions!$F$18*(B10+B15-IF(Assumptions!$C$33="All except base pay",B7,0))</f>
        <v>61002.621</v>
      </c>
      <c r="C16" s="28" t="n">
        <v>0</v>
      </c>
      <c r="D16" s="45" t="n">
        <f aca="false">IF(ISNUMBER(C16),B16-C16,"n/a")</f>
        <v>61002.621</v>
      </c>
      <c r="E16" s="48" t="str">
        <f aca="false">IF(ISNUMBER(C16),IF(C16=0,"n/a",B16/C16-1),"n/a")</f>
        <v>n/a</v>
      </c>
      <c r="F16" s="48" t="n">
        <f aca="false">IFERROR(B16/$B$17,"n/a")</f>
        <v>0.00438961071859308</v>
      </c>
      <c r="G16" s="45" t="n">
        <f aca="false">IFERROR(B16/'People cost'!$D$17,"n/a")</f>
        <v>494.615845945946</v>
      </c>
    </row>
    <row r="17" customFormat="false" ht="15" hidden="false" customHeight="false" outlineLevel="0" collapsed="false">
      <c r="A17" s="34" t="s">
        <v>224</v>
      </c>
      <c r="B17" s="47" t="n">
        <f aca="false">B10+B15+B16</f>
        <v>13897045.7543333</v>
      </c>
      <c r="C17" s="47" t="n">
        <f aca="false">IF(COUNT(C7:C9,C11:C14)=7,SUM(C7:C9,C11:C14,C16),IF(COUNT(C7:C9,C11:C14,C16)=0,"","n/a"))</f>
        <v>12317000</v>
      </c>
      <c r="D17" s="47" t="n">
        <f aca="false">IF(ISNUMBER(C17),B17-C17,"n/a")</f>
        <v>1580045.75433333</v>
      </c>
      <c r="E17" s="35" t="n">
        <f aca="false">IF(ISNUMBER(C17),IF(C17=0,"n/a",B17/C17-1),"n/a")</f>
        <v>0.128281704500555</v>
      </c>
      <c r="F17" s="35" t="n">
        <f aca="false">IFERROR(B17/$B$17,"n/a")</f>
        <v>1</v>
      </c>
      <c r="G17" s="47" t="n">
        <f aca="false">IFERROR(B17/'People cost'!$D$17,"n/a")</f>
        <v>112678.749359459</v>
      </c>
    </row>
    <row r="18" customFormat="false" ht="27.75" hidden="false" customHeight="true" outlineLevel="0" collapsed="false">
      <c r="A18" s="49" t="str">
        <f aca="false">IF(AND(COUNT(C7:C9,C11:C14,C16)&gt;0,COUNT(C7:C9,C11:C14)&lt;7),"2026 actuals are incomplete: fill every line from base pay to other HR costs (0 is allowed, and contingency may stay blank) or clear them all. The total comparison and the bridge show n/a until then.","")</f>
        <v/>
      </c>
      <c r="B18" s="49"/>
      <c r="C18" s="49"/>
      <c r="D18" s="49"/>
      <c r="E18" s="49"/>
      <c r="F18" s="49"/>
      <c r="G18" s="49"/>
    </row>
    <row r="19" customFormat="false" ht="15" hidden="false" customHeight="false" outlineLevel="0" collapsed="false">
      <c r="A19" s="50" t="s">
        <v>225</v>
      </c>
      <c r="B19" s="51"/>
      <c r="C19" s="51"/>
      <c r="D19" s="51"/>
      <c r="E19" s="51"/>
      <c r="F19" s="51"/>
      <c r="G19" s="51"/>
    </row>
    <row r="20" customFormat="false" ht="15" hidden="false" customHeight="false" outlineLevel="0" collapsed="false">
      <c r="A20" s="18" t="s">
        <v>226</v>
      </c>
      <c r="B20" s="45" t="n">
        <f aca="false">'People cost'!F17</f>
        <v>249453.75</v>
      </c>
    </row>
    <row r="21" customFormat="false" ht="15" hidden="false" customHeight="false" outlineLevel="0" collapsed="false">
      <c r="A21" s="18" t="s">
        <v>227</v>
      </c>
      <c r="B21" s="45" t="n">
        <f aca="false">'People cost'!G17</f>
        <v>53125</v>
      </c>
    </row>
    <row r="22" customFormat="false" ht="15" hidden="false" customHeight="false" outlineLevel="0" collapsed="false">
      <c r="A22" s="18" t="s">
        <v>228</v>
      </c>
      <c r="B22" s="45" t="n">
        <f aca="false">Assumptions!$C$22/12*Assumptions!$C$71*(Assumptions!$F$13*Assumptions!$C$23+Assumptions!$F$14)</f>
        <v>435058.333333333</v>
      </c>
    </row>
    <row r="23" customFormat="false" ht="15" hidden="false" customHeight="false" outlineLevel="0" collapsed="false">
      <c r="A23" s="18" t="s">
        <v>229</v>
      </c>
      <c r="B23" s="45" t="n">
        <f aca="false">B22-B20-B21</f>
        <v>132479.583333333</v>
      </c>
    </row>
    <row r="25" customFormat="false" ht="19.5" hidden="false" customHeight="true" outlineLevel="0" collapsed="false">
      <c r="A25" s="17" t="s">
        <v>230</v>
      </c>
      <c r="B25" s="6"/>
      <c r="C25" s="6"/>
      <c r="D25" s="6"/>
      <c r="E25" s="6"/>
      <c r="F25" s="6"/>
      <c r="G25" s="6"/>
    </row>
    <row r="26" customFormat="false" ht="24" hidden="false" customHeight="true" outlineLevel="0" collapsed="false">
      <c r="A26" s="22" t="s">
        <v>211</v>
      </c>
      <c r="B26" s="23" t="s">
        <v>231</v>
      </c>
      <c r="C26" s="23" t="s">
        <v>232</v>
      </c>
      <c r="D26" s="23" t="s">
        <v>233</v>
      </c>
      <c r="E26" s="23" t="s">
        <v>234</v>
      </c>
      <c r="F26" s="23" t="s">
        <v>235</v>
      </c>
      <c r="G26" s="23"/>
    </row>
    <row r="27" customFormat="false" ht="15" hidden="false" customHeight="false" outlineLevel="0" collapsed="false">
      <c r="A27" s="18" t="s">
        <v>172</v>
      </c>
      <c r="B27" s="41" t="n">
        <f aca="false">AVERAGEIFS('People cost'!$D$5:$D$16,'People cost'!$C$5:$C$16,B$26)</f>
        <v>120.666666666667</v>
      </c>
      <c r="C27" s="41" t="n">
        <f aca="false">AVERAGEIFS('People cost'!$D$5:$D$16,'People cost'!$C$5:$C$16,C$26)</f>
        <v>122.666666666667</v>
      </c>
      <c r="D27" s="41" t="n">
        <f aca="false">AVERAGEIFS('People cost'!$D$5:$D$16,'People cost'!$C$5:$C$16,D$26)</f>
        <v>124.333333333333</v>
      </c>
      <c r="E27" s="41" t="n">
        <f aca="false">AVERAGEIFS('People cost'!$D$5:$D$16,'People cost'!$C$5:$C$16,E$26)</f>
        <v>125.666666666667</v>
      </c>
      <c r="F27" s="41" t="n">
        <f aca="false">AVERAGE(B27:E27)</f>
        <v>123.333333333333</v>
      </c>
    </row>
    <row r="28" customFormat="false" ht="15" hidden="false" customHeight="false" outlineLevel="0" collapsed="false">
      <c r="A28" s="18" t="s">
        <v>218</v>
      </c>
      <c r="B28" s="45" t="n">
        <f aca="false">SUMIFS('People cost'!$H$5:$H$16,'People cost'!$C$5:$C$16,B$26)</f>
        <v>2564166.66666667</v>
      </c>
      <c r="C28" s="45" t="n">
        <f aca="false">SUMIFS('People cost'!$H$5:$H$16,'People cost'!$C$5:$C$16,C$26)</f>
        <v>2688776.66666667</v>
      </c>
      <c r="D28" s="45" t="n">
        <f aca="false">SUMIFS('People cost'!$H$5:$H$16,'People cost'!$C$5:$C$16,D$26)</f>
        <v>2751729.79166667</v>
      </c>
      <c r="E28" s="45" t="n">
        <f aca="false">SUMIFS('People cost'!$H$5:$H$16,'People cost'!$C$5:$C$16,E$26)</f>
        <v>2781238.95833333</v>
      </c>
      <c r="F28" s="45" t="n">
        <f aca="false">SUM(B28:E28)</f>
        <v>10785912.0833333</v>
      </c>
    </row>
    <row r="29" customFormat="false" ht="15" hidden="false" customHeight="false" outlineLevel="0" collapsed="false">
      <c r="A29" s="18" t="s">
        <v>236</v>
      </c>
      <c r="B29" s="45" t="n">
        <f aca="false">SUMIFS('People cost'!$I$5:$I$16,'People cost'!$C$5:$C$16,B$26)+SUMIFS('People cost'!$J$5:$J$16,'People cost'!$C$5:$C$16,B$26)</f>
        <v>205858.733333333</v>
      </c>
      <c r="C29" s="45" t="n">
        <f aca="false">SUMIFS('People cost'!$I$5:$I$16,'People cost'!$C$5:$C$16,C$26)+SUMIFS('People cost'!$J$5:$J$16,'People cost'!$C$5:$C$16,C$26)</f>
        <v>215827.533333333</v>
      </c>
      <c r="D29" s="45" t="n">
        <f aca="false">SUMIFS('People cost'!$I$5:$I$16,'People cost'!$C$5:$C$16,D$26)+SUMIFS('People cost'!$J$5:$J$16,'People cost'!$C$5:$C$16,D$26)</f>
        <v>220863.783333333</v>
      </c>
      <c r="E29" s="45" t="n">
        <f aca="false">SUMIFS('People cost'!$I$5:$I$16,'People cost'!$C$5:$C$16,E$26)+SUMIFS('People cost'!$J$5:$J$16,'People cost'!$C$5:$C$16,E$26)</f>
        <v>223224.516666667</v>
      </c>
      <c r="F29" s="45" t="n">
        <f aca="false">SUM(B29:E29)</f>
        <v>865774.566666667</v>
      </c>
    </row>
    <row r="30" customFormat="false" ht="15" hidden="false" customHeight="false" outlineLevel="0" collapsed="false">
      <c r="A30" s="18" t="s">
        <v>57</v>
      </c>
      <c r="B30" s="45" t="n">
        <f aca="false">SUMIFS('People cost'!$K$5:$K$16,'People cost'!$C$5:$C$16,B$26)+SUMIFS('People cost'!$L$5:$L$16,'People cost'!$C$5:$C$16,B$26)</f>
        <v>460946.666666667</v>
      </c>
      <c r="C30" s="45" t="n">
        <f aca="false">SUMIFS('People cost'!$K$5:$K$16,'People cost'!$C$5:$C$16,C$26)+SUMIFS('People cost'!$L$5:$L$16,'People cost'!$C$5:$C$16,C$26)</f>
        <v>471871.066666667</v>
      </c>
      <c r="D30" s="45" t="n">
        <f aca="false">SUMIFS('People cost'!$K$5:$K$16,'People cost'!$C$5:$C$16,D$26)+SUMIFS('People cost'!$L$5:$L$16,'People cost'!$C$5:$C$16,D$26)</f>
        <v>479339.191666667</v>
      </c>
      <c r="E30" s="45" t="n">
        <f aca="false">SUMIFS('People cost'!$K$5:$K$16,'People cost'!$C$5:$C$16,E$26)+SUMIFS('People cost'!$L$5:$L$16,'People cost'!$C$5:$C$16,E$26)</f>
        <v>484479.558333333</v>
      </c>
      <c r="F30" s="45" t="n">
        <f aca="false">SUM(B30:E30)</f>
        <v>1896636.48333333</v>
      </c>
    </row>
    <row r="31" customFormat="false" ht="15" hidden="false" customHeight="false" outlineLevel="0" collapsed="false">
      <c r="A31" s="34" t="s">
        <v>221</v>
      </c>
      <c r="B31" s="47" t="n">
        <f aca="false">SUM(B28:B30)</f>
        <v>3230972.06666667</v>
      </c>
      <c r="C31" s="47" t="n">
        <f aca="false">SUM(C28:C30)</f>
        <v>3376475.26666667</v>
      </c>
      <c r="D31" s="47" t="n">
        <f aca="false">SUM(D28:D30)</f>
        <v>3451932.76666667</v>
      </c>
      <c r="E31" s="47" t="n">
        <f aca="false">SUM(E28:E30)</f>
        <v>3488943.03333333</v>
      </c>
      <c r="F31" s="47" t="n">
        <f aca="false">SUM(B31:E31)</f>
        <v>13548323.1333333</v>
      </c>
    </row>
    <row r="32" customFormat="false" ht="15" hidden="false" customHeight="false" outlineLevel="0" collapsed="false">
      <c r="A32" s="18" t="s">
        <v>204</v>
      </c>
      <c r="B32" s="45" t="n">
        <f aca="false">SUMIFS('HR function'!$F$5:$F$16,'HR function'!$C$5:$C$16,B$26)</f>
        <v>28800</v>
      </c>
      <c r="C32" s="45" t="n">
        <f aca="false">SUMIFS('HR function'!$F$5:$F$16,'HR function'!$C$5:$C$16,C$26)</f>
        <v>28800</v>
      </c>
      <c r="D32" s="45" t="n">
        <f aca="false">SUMIFS('HR function'!$F$5:$F$16,'HR function'!$C$5:$C$16,D$26)</f>
        <v>24000</v>
      </c>
      <c r="E32" s="45" t="n">
        <f aca="false">SUMIFS('HR function'!$F$5:$F$16,'HR function'!$C$5:$C$16,E$26)</f>
        <v>14400</v>
      </c>
      <c r="F32" s="45" t="n">
        <f aca="false">SUM(B32:E32)</f>
        <v>96000</v>
      </c>
    </row>
    <row r="33" customFormat="false" ht="15" hidden="false" customHeight="false" outlineLevel="0" collapsed="false">
      <c r="A33" s="18" t="s">
        <v>205</v>
      </c>
      <c r="B33" s="45" t="n">
        <f aca="false">SUMIFS('HR function'!$G$5:$G$16,'HR function'!$C$5:$C$16,B$26)</f>
        <v>27150</v>
      </c>
      <c r="C33" s="45" t="n">
        <f aca="false">SUMIFS('HR function'!$G$5:$G$16,'HR function'!$C$5:$C$16,C$26)</f>
        <v>27600</v>
      </c>
      <c r="D33" s="45" t="n">
        <f aca="false">SUMIFS('HR function'!$G$5:$G$16,'HR function'!$C$5:$C$16,D$26)</f>
        <v>27975</v>
      </c>
      <c r="E33" s="45" t="n">
        <f aca="false">SUMIFS('HR function'!$G$5:$G$16,'HR function'!$C$5:$C$16,E$26)</f>
        <v>28275</v>
      </c>
      <c r="F33" s="45" t="n">
        <f aca="false">SUM(B33:E33)</f>
        <v>111000</v>
      </c>
    </row>
    <row r="34" customFormat="false" ht="15" hidden="false" customHeight="false" outlineLevel="0" collapsed="false">
      <c r="A34" s="18" t="s">
        <v>206</v>
      </c>
      <c r="B34" s="45" t="n">
        <f aca="false">SUMIFS('HR function'!$H$5:$H$16,'HR function'!$C$5:$C$16,B$26)</f>
        <v>14068</v>
      </c>
      <c r="C34" s="45" t="n">
        <f aca="false">SUMIFS('HR function'!$H$5:$H$16,'HR function'!$C$5:$C$16,C$26)</f>
        <v>14152</v>
      </c>
      <c r="D34" s="45" t="n">
        <f aca="false">SUMIFS('HR function'!$H$5:$H$16,'HR function'!$C$5:$C$16,D$26)</f>
        <v>14222</v>
      </c>
      <c r="E34" s="45" t="n">
        <f aca="false">SUMIFS('HR function'!$H$5:$H$16,'HR function'!$C$5:$C$16,E$26)</f>
        <v>14278</v>
      </c>
      <c r="F34" s="45" t="n">
        <f aca="false">SUM(B34:E34)</f>
        <v>56720</v>
      </c>
    </row>
    <row r="35" customFormat="false" ht="15" hidden="false" customHeight="false" outlineLevel="0" collapsed="false">
      <c r="A35" s="18" t="s">
        <v>222</v>
      </c>
      <c r="B35" s="45" t="n">
        <f aca="false">SUMIFS('HR function'!$I$5:$I$16,'HR function'!$C$5:$C$16,B$26)</f>
        <v>6000</v>
      </c>
      <c r="C35" s="45" t="n">
        <f aca="false">SUMIFS('HR function'!$I$5:$I$16,'HR function'!$C$5:$C$16,C$26)</f>
        <v>6000</v>
      </c>
      <c r="D35" s="45" t="n">
        <f aca="false">SUMIFS('HR function'!$I$5:$I$16,'HR function'!$C$5:$C$16,D$26)</f>
        <v>6000</v>
      </c>
      <c r="E35" s="45" t="n">
        <f aca="false">SUMIFS('HR function'!$I$5:$I$16,'HR function'!$C$5:$C$16,E$26)</f>
        <v>6000</v>
      </c>
      <c r="F35" s="45" t="n">
        <f aca="false">SUM(B35:E35)</f>
        <v>24000</v>
      </c>
    </row>
    <row r="36" customFormat="false" ht="15" hidden="false" customHeight="false" outlineLevel="0" collapsed="false">
      <c r="A36" s="34" t="s">
        <v>223</v>
      </c>
      <c r="B36" s="47" t="n">
        <f aca="false">SUM(B32:B35)</f>
        <v>76018</v>
      </c>
      <c r="C36" s="47" t="n">
        <f aca="false">SUM(C32:C35)</f>
        <v>76552</v>
      </c>
      <c r="D36" s="47" t="n">
        <f aca="false">SUM(D32:D35)</f>
        <v>72197</v>
      </c>
      <c r="E36" s="47" t="n">
        <f aca="false">SUM(E32:E35)</f>
        <v>62953</v>
      </c>
      <c r="F36" s="47" t="n">
        <f aca="false">SUM(B36:E36)</f>
        <v>287720</v>
      </c>
    </row>
    <row r="37" customFormat="false" ht="15" hidden="false" customHeight="false" outlineLevel="0" collapsed="false">
      <c r="A37" s="18" t="s">
        <v>60</v>
      </c>
      <c r="B37" s="45" t="n">
        <f aca="false">Assumptions!$F$18*(B31+B36-IF(Assumptions!$C$33="All except base pay",B28,0))</f>
        <v>14856.468</v>
      </c>
      <c r="C37" s="45" t="n">
        <f aca="false">Assumptions!$F$18*(C31+C36-IF(Assumptions!$C$33="All except base pay",C28,0))</f>
        <v>15285.012</v>
      </c>
      <c r="D37" s="45" t="n">
        <f aca="false">Assumptions!$F$18*(D31+D36-IF(Assumptions!$C$33="All except base pay",D28,0))</f>
        <v>15447.9995</v>
      </c>
      <c r="E37" s="45" t="n">
        <f aca="false">Assumptions!$F$18*(E31+E36-IF(Assumptions!$C$33="All except base pay",E28,0))</f>
        <v>15413.1415</v>
      </c>
      <c r="F37" s="45" t="n">
        <f aca="false">SUM(B37:E37)</f>
        <v>61002.621</v>
      </c>
    </row>
    <row r="38" customFormat="false" ht="15" hidden="false" customHeight="false" outlineLevel="0" collapsed="false">
      <c r="A38" s="34" t="s">
        <v>237</v>
      </c>
      <c r="B38" s="47" t="n">
        <f aca="false">B31+B36+B37</f>
        <v>3321846.53466667</v>
      </c>
      <c r="C38" s="47" t="n">
        <f aca="false">C31+C36+C37</f>
        <v>3468312.27866667</v>
      </c>
      <c r="D38" s="47" t="n">
        <f aca="false">D31+D36+D37</f>
        <v>3539577.76616667</v>
      </c>
      <c r="E38" s="47" t="n">
        <f aca="false">E31+E36+E37</f>
        <v>3567309.17483333</v>
      </c>
      <c r="F38" s="47" t="n">
        <f aca="false">SUM(B38:E38)</f>
        <v>13897045.7543333</v>
      </c>
    </row>
    <row r="39" customFormat="false" ht="15" hidden="false" customHeight="false" outlineLevel="0" collapsed="false">
      <c r="A39" s="18" t="s">
        <v>238</v>
      </c>
      <c r="B39" s="45" t="n">
        <f aca="false">IFERROR(B38/B27,"n/a")</f>
        <v>27529.1149281768</v>
      </c>
      <c r="C39" s="45" t="n">
        <f aca="false">IFERROR(C38/C27,"n/a")</f>
        <v>28274.2848804348</v>
      </c>
      <c r="D39" s="45" t="n">
        <f aca="false">IFERROR(D38/D27,"n/a")</f>
        <v>28468.453883378</v>
      </c>
      <c r="E39" s="45" t="n">
        <f aca="false">IFERROR(E38/E27,"n/a")</f>
        <v>28387.0756618037</v>
      </c>
      <c r="F39" s="45" t="n">
        <f aca="false">IFERROR(F38/F27,"n/a")</f>
        <v>112678.749359459</v>
      </c>
    </row>
    <row r="40" customFormat="false" ht="15" hidden="false" customHeight="false" outlineLevel="0" collapsed="false">
      <c r="A40" s="18" t="s">
        <v>239</v>
      </c>
      <c r="B40" s="48" t="n">
        <f aca="false">IFERROR(B38/$F$38,"n/a")</f>
        <v>0.239032568028414</v>
      </c>
      <c r="C40" s="48" t="n">
        <f aca="false">IFERROR(C38/$F$38,"n/a")</f>
        <v>0.249571911899706</v>
      </c>
      <c r="D40" s="48" t="n">
        <f aca="false">IFERROR(D38/$F$38,"n/a")</f>
        <v>0.254700015293752</v>
      </c>
      <c r="E40" s="48" t="n">
        <f aca="false">IFERROR(E38/$F$38,"n/a")</f>
        <v>0.256695504778128</v>
      </c>
      <c r="F40" s="48" t="n">
        <f aca="false">IFERROR(F38/$F$38,"n/a")</f>
        <v>1</v>
      </c>
    </row>
    <row r="42" customFormat="false" ht="19.5" hidden="false" customHeight="true" outlineLevel="0" collapsed="false">
      <c r="A42" s="17" t="s">
        <v>240</v>
      </c>
      <c r="B42" s="6"/>
      <c r="C42" s="6"/>
      <c r="D42" s="6"/>
      <c r="E42" s="6"/>
      <c r="F42" s="6"/>
      <c r="G42" s="6"/>
    </row>
    <row r="43" customFormat="false" ht="24" hidden="false" customHeight="true" outlineLevel="0" collapsed="false">
      <c r="A43" s="22" t="s">
        <v>241</v>
      </c>
      <c r="B43" s="23" t="s">
        <v>212</v>
      </c>
      <c r="C43" s="23" t="s">
        <v>242</v>
      </c>
      <c r="D43" s="23" t="s">
        <v>215</v>
      </c>
      <c r="E43" s="23"/>
      <c r="F43" s="23"/>
      <c r="G43" s="23"/>
    </row>
    <row r="44" customFormat="false" ht="15" hidden="false" customHeight="false" outlineLevel="0" collapsed="false">
      <c r="A44" s="18" t="s">
        <v>243</v>
      </c>
      <c r="B44" s="41" t="n">
        <f aca="false">'People cost'!D17</f>
        <v>123.333333333333</v>
      </c>
      <c r="C44" s="20" t="n">
        <v>116</v>
      </c>
      <c r="D44" s="48" t="n">
        <f aca="false">IF(AND(ISNUMBER(C44),N(C44)&lt;&gt;0),B44/C44-1,"n/a")</f>
        <v>0.0632183908045976</v>
      </c>
    </row>
    <row r="45" customFormat="false" ht="15" hidden="false" customHeight="false" outlineLevel="0" collapsed="false">
      <c r="A45" s="18" t="s">
        <v>244</v>
      </c>
      <c r="B45" s="45" t="n">
        <f aca="false">IFERROR(B10/B44,"n/a")</f>
        <v>109851.268648649</v>
      </c>
      <c r="C45" s="45" t="n">
        <f aca="false">IF(AND(ISNUMBER(C10),ISNUMBER(C44)),IFERROR(C10/C44,"n/a"),"n/a")</f>
        <v>103965.517241379</v>
      </c>
      <c r="D45" s="48" t="n">
        <f aca="false">IFERROR(IF(AND(ISNUMBER(B45),ISNUMBER(C45)),B45/C45-1,"n/a"),"n/a")</f>
        <v>0.056612534265609</v>
      </c>
    </row>
    <row r="46" customFormat="false" ht="15" hidden="false" customHeight="false" outlineLevel="0" collapsed="false">
      <c r="A46" s="18" t="s">
        <v>245</v>
      </c>
      <c r="B46" s="45" t="n">
        <f aca="false">IFERROR(B15/B44,"n/a")</f>
        <v>2332.86486486487</v>
      </c>
      <c r="C46" s="45" t="n">
        <f aca="false">IF(AND(ISNUMBER(C15),ISNUMBER(C44)),IFERROR(C15/C44,"n/a"),"n/a")</f>
        <v>2215.51724137931</v>
      </c>
      <c r="D46" s="48" t="n">
        <f aca="false">IFERROR(IF(AND(ISNUMBER(B46),ISNUMBER(C46)),B46/C46-1,"n/a"),"n/a")</f>
        <v>0.0529662425070987</v>
      </c>
    </row>
    <row r="47" customFormat="false" ht="15" hidden="false" customHeight="false" outlineLevel="0" collapsed="false">
      <c r="A47" s="18" t="s">
        <v>246</v>
      </c>
      <c r="B47" s="45" t="n">
        <f aca="false">IFERROR(B17/B44,"n/a")</f>
        <v>112678.749359459</v>
      </c>
      <c r="C47" s="45" t="n">
        <f aca="false">IF(AND(ISNUMBER(C17),ISNUMBER(C44)),IFERROR(C17/C44,"n/a"),"n/a")</f>
        <v>106181.034482759</v>
      </c>
      <c r="D47" s="48" t="n">
        <f aca="false">IFERROR(IF(AND(ISNUMBER(B47),ISNUMBER(C47)),B47/C47-1,"n/a"),"n/a")</f>
        <v>0.0611946842329543</v>
      </c>
    </row>
    <row r="48" customFormat="false" ht="15" hidden="false" customHeight="false" outlineLevel="0" collapsed="false">
      <c r="A48" s="18" t="s">
        <v>247</v>
      </c>
      <c r="B48" s="52" t="n">
        <f aca="false">IFERROR(B15/B10,"n/a")</f>
        <v>0.0212365764507132</v>
      </c>
      <c r="C48" s="52" t="n">
        <f aca="false">IF(AND(ISNUMBER(C15),ISNUMBER(C10)),IFERROR(C15/C10,"n/a"),"n/a")</f>
        <v>0.0213101160862355</v>
      </c>
      <c r="D48" s="48" t="n">
        <f aca="false">IFERROR(IF(AND(ISNUMBER(B48),ISNUMBER(C48)),B48/C48-1,"n/a"),"n/a")</f>
        <v>-0.00345092608715325</v>
      </c>
    </row>
    <row r="49" customFormat="false" ht="15" hidden="false" customHeight="false" outlineLevel="0" collapsed="false">
      <c r="A49" s="18" t="s">
        <v>248</v>
      </c>
      <c r="B49" s="48" t="n">
        <f aca="false">IFERROR((B8+B9)/B10,"n/a")</f>
        <v>0.203893206769151</v>
      </c>
      <c r="C49" s="48" t="n">
        <f aca="false">IF(AND(ISNUMBER(C8),ISNUMBER(C9),ISNUMBER(C10)),IFERROR((C8+C9)/C10,"n/a"),"n/a")</f>
        <v>0.201492537313433</v>
      </c>
      <c r="D49" s="48" t="n">
        <f aca="false">IFERROR(IF(AND(ISNUMBER(B49),ISNUMBER(C49)),B49/C49-1,"n/a"),"n/a")</f>
        <v>0.0119144335950439</v>
      </c>
    </row>
    <row r="50" customFormat="false" ht="19.5" hidden="false" customHeight="true" outlineLevel="0" collapsed="false">
      <c r="A50" s="17" t="s">
        <v>249</v>
      </c>
      <c r="B50" s="6"/>
      <c r="C50" s="6"/>
      <c r="D50" s="6"/>
      <c r="E50" s="6"/>
      <c r="F50" s="6"/>
      <c r="G50" s="6"/>
    </row>
    <row r="51" customFormat="false" ht="21.75" hidden="false" customHeight="true" outlineLevel="0" collapsed="false">
      <c r="A51" s="22" t="s">
        <v>250</v>
      </c>
      <c r="B51" s="23" t="s">
        <v>251</v>
      </c>
      <c r="C51" s="23"/>
      <c r="D51" s="23"/>
      <c r="E51" s="23"/>
      <c r="F51" s="23"/>
      <c r="G51" s="23"/>
    </row>
    <row r="52" customFormat="false" ht="15" hidden="false" customHeight="false" outlineLevel="0" collapsed="false">
      <c r="A52" s="18" t="s">
        <v>252</v>
      </c>
      <c r="B52" s="45" t="n">
        <f aca="false">IF(ISNUMBER(C17),C17,"n/a")</f>
        <v>12317000</v>
      </c>
    </row>
    <row r="53" customFormat="false" ht="15" hidden="false" customHeight="false" outlineLevel="0" collapsed="false">
      <c r="A53" s="18" t="s">
        <v>253</v>
      </c>
      <c r="B53" s="45" t="n">
        <f aca="false">IF(AND(ISNUMBER(C17),ISNUMBER(C44)),IF(C44=0,"n/a",(B44-C44)*C17/C44),"n/a")</f>
        <v>778660.919540229</v>
      </c>
    </row>
    <row r="54" customFormat="false" ht="15" hidden="false" customHeight="false" outlineLevel="0" collapsed="false">
      <c r="A54" s="18" t="s">
        <v>254</v>
      </c>
      <c r="B54" s="45" t="n">
        <f aca="false">IF(AND(ISNUMBER(C17),ISNUMBER(C44)),IF(OR(C44=0,B44=0),"n/a",B44*(B17/B44-C17/C44)),"n/a")</f>
        <v>801384.834793103</v>
      </c>
    </row>
    <row r="55" customFormat="false" ht="15" hidden="false" customHeight="false" outlineLevel="0" collapsed="false">
      <c r="A55" s="34" t="s">
        <v>212</v>
      </c>
      <c r="B55" s="47" t="n">
        <f aca="false">B17</f>
        <v>13897045.7543333</v>
      </c>
    </row>
    <row r="57" customFormat="false" ht="19.5" hidden="false" customHeight="true" outlineLevel="0" collapsed="false">
      <c r="A57" s="17" t="s">
        <v>255</v>
      </c>
      <c r="B57" s="6"/>
      <c r="C57" s="6"/>
      <c r="D57" s="6"/>
      <c r="E57" s="6"/>
      <c r="F57" s="6"/>
      <c r="G57" s="6"/>
    </row>
    <row r="58" customFormat="false" ht="31.5" hidden="false" customHeight="true" outlineLevel="0" collapsed="false">
      <c r="A58" s="22" t="s">
        <v>256</v>
      </c>
      <c r="B58" s="23" t="s">
        <v>237</v>
      </c>
      <c r="C58" s="23" t="s">
        <v>257</v>
      </c>
      <c r="D58" s="23" t="s">
        <v>258</v>
      </c>
      <c r="E58" s="23" t="s">
        <v>259</v>
      </c>
      <c r="F58" s="23"/>
      <c r="G58" s="23"/>
    </row>
    <row r="59" customFormat="false" ht="15" hidden="false" customHeight="false" outlineLevel="0" collapsed="false">
      <c r="A59" s="18" t="s">
        <v>85</v>
      </c>
      <c r="B59" s="29" t="n">
        <f aca="false">Sensitivity!AC44</f>
        <v>13693087.1751667</v>
      </c>
      <c r="C59" s="45" t="n">
        <f aca="false">B59-$B$60</f>
        <v>-203958.579166668</v>
      </c>
      <c r="D59" s="48" t="n">
        <f aca="false">IFERROR(B59/$B$60-1,"n/a")</f>
        <v>-0.0146763983347374</v>
      </c>
      <c r="E59" s="45" t="n">
        <f aca="false">IFERROR(B59/'People cost'!$D$17,"n/a")</f>
        <v>111025.03115</v>
      </c>
    </row>
    <row r="60" customFormat="false" ht="15" hidden="false" customHeight="false" outlineLevel="0" collapsed="false">
      <c r="A60" s="18" t="s">
        <v>74</v>
      </c>
      <c r="B60" s="29" t="n">
        <f aca="false">Sensitivity!AC45</f>
        <v>13897045.7543333</v>
      </c>
      <c r="C60" s="45" t="n">
        <f aca="false">B60-$B$60</f>
        <v>0</v>
      </c>
      <c r="D60" s="48" t="n">
        <f aca="false">IFERROR(B60/$B$60-1,"n/a")</f>
        <v>0</v>
      </c>
      <c r="E60" s="45" t="n">
        <f aca="false">IFERROR(B60/'People cost'!$D$17,"n/a")</f>
        <v>112678.749359459</v>
      </c>
    </row>
    <row r="61" customFormat="false" ht="15" hidden="false" customHeight="false" outlineLevel="0" collapsed="false">
      <c r="A61" s="18" t="s">
        <v>86</v>
      </c>
      <c r="B61" s="29" t="n">
        <f aca="false">Sensitivity!AC46</f>
        <v>14136491.8041667</v>
      </c>
      <c r="C61" s="45" t="n">
        <f aca="false">B61-$B$60</f>
        <v>239446.049833331</v>
      </c>
      <c r="D61" s="48" t="n">
        <f aca="false">IFERROR(B61/$B$60-1,"n/a")</f>
        <v>0.0172299965090543</v>
      </c>
      <c r="E61" s="45" t="n">
        <f aca="false">IFERROR(B61/'People cost'!$D$17,"n/a")</f>
        <v>114620.203817568</v>
      </c>
    </row>
    <row r="62" customFormat="false" ht="15" hidden="false" customHeight="true" outlineLevel="0" collapsed="false">
      <c r="A62" s="16" t="s">
        <v>260</v>
      </c>
      <c r="B62" s="16"/>
      <c r="C62" s="16"/>
      <c r="D62" s="16"/>
      <c r="E62" s="16"/>
      <c r="F62" s="16"/>
      <c r="G62" s="16"/>
    </row>
  </sheetData>
  <mergeCells count="2">
    <mergeCell ref="A18:G18"/>
    <mergeCell ref="A62:G62"/>
  </mergeCells>
  <conditionalFormatting sqref="C7:C9">
    <cfRule type="expression" priority="2" aboveAverage="0" equalAverage="0" bottom="0" percent="0" rank="0" text="" dxfId="0">
      <formula>ISTEXT(C7)</formula>
    </cfRule>
  </conditionalFormatting>
  <conditionalFormatting sqref="C11:C14">
    <cfRule type="expression" priority="3" aboveAverage="0" equalAverage="0" bottom="0" percent="0" rank="0" text="" dxfId="0">
      <formula>ISTEXT(C11)</formula>
    </cfRule>
  </conditionalFormatting>
  <conditionalFormatting sqref="C16">
    <cfRule type="expression" priority="4" aboveAverage="0" equalAverage="0" bottom="0" percent="0" rank="0" text="" dxfId="0">
      <formula>ISTEXT(C16)</formula>
    </cfRule>
  </conditionalFormatting>
  <conditionalFormatting sqref="C44">
    <cfRule type="expression" priority="5" aboveAverage="0" equalAverage="0" bottom="0" percent="0" rank="0" text="" dxfId="0">
      <formula>ISTEXT(C44)</formula>
    </cfRule>
  </conditionalFormatting>
  <conditionalFormatting sqref="A3">
    <cfRule type="expression" priority="6" aboveAverage="0" equalAverage="0" bottom="0" percent="0" rank="0" text="" dxfId="1">
      <formula>ISNUMBER(SEARCH("ALL OK",$A$3))</formula>
    </cfRule>
    <cfRule type="expression" priority="7" aboveAverage="0" equalAverage="0" bottom="0" percent="0" rank="0" text="" dxfId="2">
      <formula>NOT(ISNUMBER(SEARCH("ALL OK",$A$3)))</formula>
    </cfRule>
  </conditionalFormatting>
  <dataValidations count="1">
    <dataValidation allowBlank="true" error="Enter zero or a positive number, or leave blank if you have no 2026 actual." errorStyle="stop" errorTitle="2026 actual" operator="greaterThanOrEqual" prompt="Enter zero or a positive number, or leave blank if you have no 2026 actual." promptTitle="2026 actual" showDropDown="false" showErrorMessage="true" showInputMessage="true" sqref="C7:C9 C11:C14 C16 C44" type="decimal">
      <formula1>0</formula1>
      <formula2>0</formula2>
    </dataValidation>
  </dataValidations>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C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9" min="2" style="0" width="15"/>
  </cols>
  <sheetData>
    <row r="1" customFormat="false" ht="25.5" hidden="false" customHeight="true" outlineLevel="0" collapsed="false">
      <c r="A1" s="1" t="s">
        <v>261</v>
      </c>
    </row>
    <row r="2" customFormat="false" ht="30" hidden="false" customHeight="true" outlineLevel="0" collapsed="false">
      <c r="A2" s="53" t="s">
        <v>262</v>
      </c>
      <c r="B2" s="53"/>
      <c r="C2" s="53"/>
      <c r="D2" s="53"/>
      <c r="E2" s="53"/>
      <c r="F2" s="53"/>
      <c r="G2" s="53"/>
      <c r="H2" s="53"/>
      <c r="I2" s="53"/>
      <c r="J2" s="53"/>
      <c r="K2" s="53"/>
    </row>
    <row r="4" customFormat="false" ht="22.35" hidden="false" customHeight="true" outlineLevel="0" collapsed="false">
      <c r="A4" s="18" t="s">
        <v>263</v>
      </c>
      <c r="C4" s="30" t="n">
        <v>0.1</v>
      </c>
      <c r="D4" s="16" t="s">
        <v>264</v>
      </c>
      <c r="E4" s="16"/>
      <c r="F4" s="16"/>
      <c r="G4" s="16"/>
      <c r="H4" s="16"/>
      <c r="I4" s="16"/>
      <c r="J4" s="16"/>
      <c r="K4" s="16"/>
    </row>
    <row r="5" customFormat="false" ht="15" hidden="false" customHeight="true" outlineLevel="0" collapsed="false">
      <c r="A5" s="18" t="s">
        <v>265</v>
      </c>
      <c r="C5" s="31" t="n">
        <v>1</v>
      </c>
      <c r="D5" s="16" t="s">
        <v>266</v>
      </c>
      <c r="E5" s="16"/>
      <c r="F5" s="16"/>
      <c r="G5" s="16"/>
      <c r="H5" s="16"/>
      <c r="I5" s="16"/>
      <c r="J5" s="16"/>
      <c r="K5" s="16"/>
    </row>
    <row r="6" customFormat="false" ht="15" hidden="false" customHeight="false" outlineLevel="0" collapsed="false">
      <c r="A6" s="18" t="s">
        <v>267</v>
      </c>
      <c r="C6" s="29" t="n">
        <f aca="false">AC43</f>
        <v>13897045.7543333</v>
      </c>
    </row>
    <row r="7" customFormat="false" ht="15" hidden="false" customHeight="false" outlineLevel="0" collapsed="false">
      <c r="A7" s="18" t="s">
        <v>268</v>
      </c>
      <c r="C7" s="29" t="n">
        <f aca="false">Summary!B17</f>
        <v>13897045.7543333</v>
      </c>
    </row>
    <row r="8" customFormat="false" ht="15" hidden="false" customHeight="false" outlineLevel="0" collapsed="false">
      <c r="A8" s="18" t="s">
        <v>269</v>
      </c>
      <c r="C8" s="37" t="n">
        <f aca="false">C6-C7</f>
        <v>0</v>
      </c>
    </row>
    <row r="10" customFormat="false" ht="39.75" hidden="false" customHeight="true" outlineLevel="0" collapsed="false">
      <c r="A10" s="22" t="s">
        <v>107</v>
      </c>
      <c r="B10" s="23" t="s">
        <v>270</v>
      </c>
      <c r="C10" s="23" t="s">
        <v>271</v>
      </c>
      <c r="D10" s="23" t="s">
        <v>272</v>
      </c>
      <c r="E10" s="23" t="s">
        <v>273</v>
      </c>
      <c r="F10" s="23" t="s">
        <v>274</v>
      </c>
      <c r="G10" s="23" t="s">
        <v>275</v>
      </c>
      <c r="H10" s="23" t="s">
        <v>276</v>
      </c>
      <c r="I10" s="23" t="s">
        <v>277</v>
      </c>
      <c r="J10" s="23" t="s">
        <v>278</v>
      </c>
      <c r="K10" s="23" t="s">
        <v>279</v>
      </c>
    </row>
    <row r="11" customFormat="false" ht="15" hidden="false" customHeight="false" outlineLevel="0" collapsed="false">
      <c r="A11" s="18" t="s">
        <v>280</v>
      </c>
      <c r="B11" s="45" t="n">
        <f aca="false">B43</f>
        <v>85000</v>
      </c>
      <c r="C11" s="45" t="n">
        <f aca="false">B47</f>
        <v>76500</v>
      </c>
      <c r="D11" s="45" t="n">
        <f aca="false">B48</f>
        <v>93500</v>
      </c>
      <c r="E11" s="45" t="n">
        <f aca="false">AC47</f>
        <v>12686434.9821</v>
      </c>
      <c r="F11" s="45" t="n">
        <f aca="false">AC48</f>
        <v>15107656.5265667</v>
      </c>
      <c r="G11" s="45" t="n">
        <f aca="false">E11-$C$6</f>
        <v>-1210610.77223333</v>
      </c>
      <c r="H11" s="45" t="n">
        <f aca="false">F11-$C$6</f>
        <v>1210610.77223334</v>
      </c>
      <c r="I11" s="29" t="n">
        <f aca="false">ABS(F11-E11)</f>
        <v>2421221.54446667</v>
      </c>
      <c r="J11" s="48" t="n">
        <f aca="false">IFERROR(I11/$C$6,"n/a")</f>
        <v>0.174225629480402</v>
      </c>
      <c r="K11" s="39" t="n">
        <f aca="false">RANK(I11,$I$11:$I$26)</f>
        <v>2</v>
      </c>
    </row>
    <row r="12" customFormat="false" ht="15" hidden="false" customHeight="false" outlineLevel="0" collapsed="false">
      <c r="A12" s="18" t="s">
        <v>281</v>
      </c>
      <c r="B12" s="48" t="n">
        <f aca="false">C43</f>
        <v>1</v>
      </c>
      <c r="C12" s="48" t="n">
        <f aca="false">C49</f>
        <v>0.9</v>
      </c>
      <c r="D12" s="48" t="n">
        <f aca="false">C50</f>
        <v>1.1</v>
      </c>
      <c r="E12" s="45" t="n">
        <f aca="false">AC49</f>
        <v>12523549.1421</v>
      </c>
      <c r="F12" s="45" t="n">
        <f aca="false">AC50</f>
        <v>15270542.3665667</v>
      </c>
      <c r="G12" s="45" t="n">
        <f aca="false">E12-$C$6</f>
        <v>-1373496.61223333</v>
      </c>
      <c r="H12" s="45" t="n">
        <f aca="false">F12-$C$6</f>
        <v>1373496.61223334</v>
      </c>
      <c r="I12" s="29" t="n">
        <f aca="false">ABS(F12-E12)</f>
        <v>2746993.22446667</v>
      </c>
      <c r="J12" s="48" t="n">
        <f aca="false">IFERROR(I12/$C$6,"n/a")</f>
        <v>0.197667423208282</v>
      </c>
      <c r="K12" s="39" t="n">
        <f aca="false">RANK(I12,$I$11:$I$26)</f>
        <v>1</v>
      </c>
    </row>
    <row r="13" customFormat="false" ht="15" hidden="false" customHeight="false" outlineLevel="0" collapsed="false">
      <c r="A13" s="18" t="s">
        <v>282</v>
      </c>
      <c r="B13" s="52" t="n">
        <f aca="false">D43</f>
        <v>0.035</v>
      </c>
      <c r="C13" s="52" t="n">
        <f aca="false">D51</f>
        <v>0.0315</v>
      </c>
      <c r="D13" s="52" t="n">
        <f aca="false">D52</f>
        <v>0.0385</v>
      </c>
      <c r="E13" s="45" t="n">
        <f aca="false">AC51</f>
        <v>13869047.0654333</v>
      </c>
      <c r="F13" s="45" t="n">
        <f aca="false">AC52</f>
        <v>13925044.4432333</v>
      </c>
      <c r="G13" s="45" t="n">
        <f aca="false">E13-$C$6</f>
        <v>-27998.6888999995</v>
      </c>
      <c r="H13" s="45" t="n">
        <f aca="false">F13-$C$6</f>
        <v>27998.6889000013</v>
      </c>
      <c r="I13" s="29" t="n">
        <f aca="false">ABS(F13-E13)</f>
        <v>55997.3778000008</v>
      </c>
      <c r="J13" s="48" t="n">
        <f aca="false">IFERROR(I13/$C$6,"n/a")</f>
        <v>0.00402944473162866</v>
      </c>
      <c r="K13" s="39" t="n">
        <f aca="false">RANK(I13,$I$11:$I$26)</f>
        <v>7</v>
      </c>
    </row>
    <row r="14" customFormat="false" ht="15" hidden="false" customHeight="false" outlineLevel="0" collapsed="false">
      <c r="A14" s="18" t="s">
        <v>283</v>
      </c>
      <c r="B14" s="52" t="n">
        <f aca="false">E43</f>
        <v>0.01</v>
      </c>
      <c r="C14" s="52" t="n">
        <f aca="false">E53</f>
        <v>0.009</v>
      </c>
      <c r="D14" s="52" t="n">
        <f aca="false">E54</f>
        <v>0.011</v>
      </c>
      <c r="E14" s="45" t="n">
        <f aca="false">AC53</f>
        <v>13891083.0043333</v>
      </c>
      <c r="F14" s="45" t="n">
        <f aca="false">AC54</f>
        <v>13903008.5043333</v>
      </c>
      <c r="G14" s="45" t="n">
        <f aca="false">E14-$C$6</f>
        <v>-5962.75</v>
      </c>
      <c r="H14" s="45" t="n">
        <f aca="false">F14-$C$6</f>
        <v>5962.75</v>
      </c>
      <c r="I14" s="29" t="n">
        <f aca="false">ABS(F14-E14)</f>
        <v>11925.5</v>
      </c>
      <c r="J14" s="48" t="n">
        <f aca="false">IFERROR(I14/$C$6,"n/a")</f>
        <v>0.000858132023943393</v>
      </c>
      <c r="K14" s="39" t="n">
        <f aca="false">RANK(I14,$I$11:$I$26)</f>
        <v>13</v>
      </c>
    </row>
    <row r="15" customFormat="false" ht="15" hidden="false" customHeight="false" outlineLevel="0" collapsed="false">
      <c r="A15" s="18" t="s">
        <v>284</v>
      </c>
      <c r="B15" s="52" t="n">
        <f aca="false">I43</f>
        <v>0.08</v>
      </c>
      <c r="C15" s="52" t="n">
        <f aca="false">I55</f>
        <v>0.072</v>
      </c>
      <c r="D15" s="52" t="n">
        <f aca="false">I56</f>
        <v>0.088</v>
      </c>
      <c r="E15" s="45" t="n">
        <f aca="false">AC55</f>
        <v>13809032.7117333</v>
      </c>
      <c r="F15" s="45" t="n">
        <f aca="false">AC56</f>
        <v>13985058.7969333</v>
      </c>
      <c r="G15" s="45" t="n">
        <f aca="false">E15-$C$6</f>
        <v>-88013.0426000003</v>
      </c>
      <c r="H15" s="45" t="n">
        <f aca="false">F15-$C$6</f>
        <v>88013.0426000003</v>
      </c>
      <c r="I15" s="29" t="n">
        <f aca="false">ABS(F15-E15)</f>
        <v>176026.085200001</v>
      </c>
      <c r="J15" s="48" t="n">
        <f aca="false">IFERROR(I15/$C$6,"n/a")</f>
        <v>0.0126664392067007</v>
      </c>
      <c r="K15" s="39" t="n">
        <f aca="false">RANK(I15,$I$11:$I$26)</f>
        <v>4</v>
      </c>
    </row>
    <row r="16" customFormat="false" ht="15" hidden="false" customHeight="false" outlineLevel="0" collapsed="false">
      <c r="A16" s="18" t="s">
        <v>285</v>
      </c>
      <c r="B16" s="52" t="n">
        <f aca="false">J43</f>
        <v>0.04</v>
      </c>
      <c r="C16" s="52" t="n">
        <f aca="false">J57</f>
        <v>0.036</v>
      </c>
      <c r="D16" s="52" t="n">
        <f aca="false">J58</f>
        <v>0.044</v>
      </c>
      <c r="E16" s="45" t="n">
        <f aca="false">AC57</f>
        <v>13853039.2330333</v>
      </c>
      <c r="F16" s="45" t="n">
        <f aca="false">AC58</f>
        <v>13941052.2756333</v>
      </c>
      <c r="G16" s="45" t="n">
        <f aca="false">E16-$C$6</f>
        <v>-44006.5212999992</v>
      </c>
      <c r="H16" s="45" t="n">
        <f aca="false">F16-$C$6</f>
        <v>44006.5213000011</v>
      </c>
      <c r="I16" s="29" t="n">
        <f aca="false">ABS(F16-E16)</f>
        <v>88013.0426000003</v>
      </c>
      <c r="J16" s="48" t="n">
        <f aca="false">IFERROR(I16/$C$6,"n/a")</f>
        <v>0.00633321960335033</v>
      </c>
      <c r="K16" s="39" t="n">
        <f aca="false">RANK(I16,$I$11:$I$26)</f>
        <v>5</v>
      </c>
    </row>
    <row r="17" customFormat="false" ht="15" hidden="false" customHeight="false" outlineLevel="0" collapsed="false">
      <c r="A17" s="18" t="s">
        <v>286</v>
      </c>
      <c r="B17" s="45" t="n">
        <f aca="false">K43</f>
        <v>11000</v>
      </c>
      <c r="C17" s="45" t="n">
        <f aca="false">K59</f>
        <v>9900</v>
      </c>
      <c r="D17" s="45" t="n">
        <f aca="false">K60</f>
        <v>12100</v>
      </c>
      <c r="E17" s="45" t="n">
        <f aca="false">AC59</f>
        <v>13747595.3543333</v>
      </c>
      <c r="F17" s="45" t="n">
        <f aca="false">AC60</f>
        <v>14046496.1543333</v>
      </c>
      <c r="G17" s="45" t="n">
        <f aca="false">E17-$C$6</f>
        <v>-149450.399999999</v>
      </c>
      <c r="H17" s="45" t="n">
        <f aca="false">F17-$C$6</f>
        <v>149450.4</v>
      </c>
      <c r="I17" s="29" t="n">
        <f aca="false">ABS(F17-E17)</f>
        <v>298900.799999999</v>
      </c>
      <c r="J17" s="48" t="n">
        <f aca="false">IFERROR(I17/$C$6,"n/a")</f>
        <v>0.0215082259412434</v>
      </c>
      <c r="K17" s="39" t="n">
        <f aca="false">RANK(I17,$I$11:$I$26)</f>
        <v>3</v>
      </c>
    </row>
    <row r="18" customFormat="false" ht="15" hidden="false" customHeight="false" outlineLevel="0" collapsed="false">
      <c r="A18" s="18" t="s">
        <v>287</v>
      </c>
      <c r="B18" s="52" t="n">
        <f aca="false">L43</f>
        <v>0.08</v>
      </c>
      <c r="C18" s="52" t="n">
        <f aca="false">L61</f>
        <v>0.072</v>
      </c>
      <c r="D18" s="52" t="n">
        <f aca="false">L62</f>
        <v>0.088</v>
      </c>
      <c r="E18" s="45" t="n">
        <f aca="false">AC61</f>
        <v>13885975.3543333</v>
      </c>
      <c r="F18" s="45" t="n">
        <f aca="false">AC62</f>
        <v>13908116.1543333</v>
      </c>
      <c r="G18" s="45" t="n">
        <f aca="false">E18-$C$6</f>
        <v>-11070.4000000004</v>
      </c>
      <c r="H18" s="45" t="n">
        <f aca="false">F18-$C$6</f>
        <v>11070.4000000004</v>
      </c>
      <c r="I18" s="29" t="n">
        <f aca="false">ABS(F18-E18)</f>
        <v>22140.8000000007</v>
      </c>
      <c r="J18" s="48" t="n">
        <f aca="false">IFERROR(I18/$C$6,"n/a")</f>
        <v>0.00159320192157365</v>
      </c>
      <c r="K18" s="39" t="n">
        <f aca="false">RANK(I18,$I$11:$I$26)</f>
        <v>9</v>
      </c>
    </row>
    <row r="19" customFormat="false" ht="15" hidden="false" customHeight="false" outlineLevel="0" collapsed="false">
      <c r="A19" s="18" t="s">
        <v>288</v>
      </c>
      <c r="B19" s="41" t="n">
        <f aca="false">M43</f>
        <v>24</v>
      </c>
      <c r="C19" s="41" t="n">
        <f aca="false">M63</f>
        <v>21.6</v>
      </c>
      <c r="D19" s="41" t="n">
        <f aca="false">M64</f>
        <v>26.4</v>
      </c>
      <c r="E19" s="45" t="n">
        <f aca="false">AC63</f>
        <v>13887253.7543333</v>
      </c>
      <c r="F19" s="45" t="n">
        <f aca="false">AC64</f>
        <v>13906837.7543333</v>
      </c>
      <c r="G19" s="45" t="n">
        <f aca="false">E19-$C$6</f>
        <v>-9792</v>
      </c>
      <c r="H19" s="45" t="n">
        <f aca="false">F19-$C$6</f>
        <v>9792</v>
      </c>
      <c r="I19" s="29" t="n">
        <f aca="false">ABS(F19-E19)</f>
        <v>19584</v>
      </c>
      <c r="J19" s="48" t="n">
        <f aca="false">IFERROR(I19/$C$6,"n/a")</f>
        <v>0.00140922037289065</v>
      </c>
      <c r="K19" s="39" t="n">
        <f aca="false">RANK(I19,$I$11:$I$26)</f>
        <v>10</v>
      </c>
    </row>
    <row r="20" customFormat="false" ht="15" hidden="false" customHeight="false" outlineLevel="0" collapsed="false">
      <c r="A20" s="18" t="s">
        <v>289</v>
      </c>
      <c r="B20" s="45" t="n">
        <f aca="false">N43</f>
        <v>4000</v>
      </c>
      <c r="C20" s="45" t="n">
        <f aca="false">N65</f>
        <v>3600</v>
      </c>
      <c r="D20" s="45" t="n">
        <f aca="false">N66</f>
        <v>4400</v>
      </c>
      <c r="E20" s="45" t="n">
        <f aca="false">AC65</f>
        <v>13887253.7543333</v>
      </c>
      <c r="F20" s="45" t="n">
        <f aca="false">AC66</f>
        <v>13906837.7543333</v>
      </c>
      <c r="G20" s="45" t="n">
        <f aca="false">E20-$C$6</f>
        <v>-9792</v>
      </c>
      <c r="H20" s="45" t="n">
        <f aca="false">F20-$C$6</f>
        <v>9792</v>
      </c>
      <c r="I20" s="29" t="n">
        <f aca="false">ABS(F20-E20)</f>
        <v>19584</v>
      </c>
      <c r="J20" s="48" t="n">
        <f aca="false">IFERROR(I20/$C$6,"n/a")</f>
        <v>0.00140922037289065</v>
      </c>
      <c r="K20" s="39" t="n">
        <f aca="false">RANK(I20,$I$11:$I$26)</f>
        <v>10</v>
      </c>
    </row>
    <row r="21" customFormat="false" ht="15" hidden="false" customHeight="false" outlineLevel="0" collapsed="false">
      <c r="A21" s="18" t="s">
        <v>290</v>
      </c>
      <c r="B21" s="45" t="n">
        <f aca="false">O43</f>
        <v>900</v>
      </c>
      <c r="C21" s="45" t="n">
        <f aca="false">O67</f>
        <v>810</v>
      </c>
      <c r="D21" s="45" t="n">
        <f aca="false">O68</f>
        <v>990</v>
      </c>
      <c r="E21" s="45" t="n">
        <f aca="false">AC67</f>
        <v>13885723.7543333</v>
      </c>
      <c r="F21" s="45" t="n">
        <f aca="false">AC68</f>
        <v>13908367.7543333</v>
      </c>
      <c r="G21" s="45" t="n">
        <f aca="false">E21-$C$6</f>
        <v>-11322</v>
      </c>
      <c r="H21" s="45" t="n">
        <f aca="false">F21-$C$6</f>
        <v>11322</v>
      </c>
      <c r="I21" s="29" t="n">
        <f aca="false">ABS(F21-E21)</f>
        <v>22644</v>
      </c>
      <c r="J21" s="48" t="n">
        <f aca="false">IFERROR(I21/$C$6,"n/a")</f>
        <v>0.00162941105615481</v>
      </c>
      <c r="K21" s="39" t="n">
        <f aca="false">RANK(I21,$I$11:$I$26)</f>
        <v>8</v>
      </c>
    </row>
    <row r="22" customFormat="false" ht="15" hidden="false" customHeight="false" outlineLevel="0" collapsed="false">
      <c r="A22" s="18" t="s">
        <v>291</v>
      </c>
      <c r="B22" s="45" t="n">
        <f aca="false">P43</f>
        <v>36000</v>
      </c>
      <c r="C22" s="45" t="n">
        <f aca="false">P69</f>
        <v>32400</v>
      </c>
      <c r="D22" s="45" t="n">
        <f aca="false">P70</f>
        <v>39600</v>
      </c>
      <c r="E22" s="45" t="n">
        <f aca="false">AC69</f>
        <v>13893373.7543333</v>
      </c>
      <c r="F22" s="45" t="n">
        <f aca="false">AC70</f>
        <v>13900717.7543333</v>
      </c>
      <c r="G22" s="45" t="n">
        <f aca="false">E22-$C$6</f>
        <v>-3672</v>
      </c>
      <c r="H22" s="45" t="n">
        <f aca="false">F22-$C$6</f>
        <v>3672</v>
      </c>
      <c r="I22" s="29" t="n">
        <f aca="false">ABS(F22-E22)</f>
        <v>7344</v>
      </c>
      <c r="J22" s="48" t="n">
        <f aca="false">IFERROR(I22/$C$6,"n/a")</f>
        <v>0.000528457639833993</v>
      </c>
      <c r="K22" s="39" t="n">
        <f aca="false">RANK(I22,$I$11:$I$26)</f>
        <v>14</v>
      </c>
    </row>
    <row r="23" customFormat="false" ht="15" hidden="false" customHeight="false" outlineLevel="0" collapsed="false">
      <c r="A23" s="18" t="s">
        <v>292</v>
      </c>
      <c r="B23" s="37" t="n">
        <f aca="false">Q43</f>
        <v>14</v>
      </c>
      <c r="C23" s="37" t="n">
        <f aca="false">Q71</f>
        <v>12.6</v>
      </c>
      <c r="D23" s="37" t="n">
        <f aca="false">Q72</f>
        <v>15.4</v>
      </c>
      <c r="E23" s="45" t="n">
        <f aca="false">AC71</f>
        <v>13894932.3143333</v>
      </c>
      <c r="F23" s="45" t="n">
        <f aca="false">AC72</f>
        <v>13899159.1943333</v>
      </c>
      <c r="G23" s="45" t="n">
        <f aca="false">E23-$C$6</f>
        <v>-2113.43999999948</v>
      </c>
      <c r="H23" s="45" t="n">
        <f aca="false">F23-$C$6</f>
        <v>2113.44000000134</v>
      </c>
      <c r="I23" s="29" t="n">
        <f aca="false">ABS(F23-E23)</f>
        <v>4226.88000000082</v>
      </c>
      <c r="J23" s="48" t="n">
        <f aca="false">IFERROR(I23/$C$6,"n/a")</f>
        <v>0.00030415673048229</v>
      </c>
      <c r="K23" s="39" t="n">
        <f aca="false">RANK(I23,$I$11:$I$26)</f>
        <v>16</v>
      </c>
    </row>
    <row r="24" customFormat="false" ht="15" hidden="false" customHeight="false" outlineLevel="0" collapsed="false">
      <c r="A24" s="18" t="s">
        <v>222</v>
      </c>
      <c r="B24" s="45" t="n">
        <f aca="false">R43</f>
        <v>24000</v>
      </c>
      <c r="C24" s="45" t="n">
        <f aca="false">R73</f>
        <v>21600</v>
      </c>
      <c r="D24" s="45" t="n">
        <f aca="false">R74</f>
        <v>26400</v>
      </c>
      <c r="E24" s="45" t="n">
        <f aca="false">AC73</f>
        <v>13894597.7543333</v>
      </c>
      <c r="F24" s="45" t="n">
        <f aca="false">AC74</f>
        <v>13899493.7543333</v>
      </c>
      <c r="G24" s="45" t="n">
        <f aca="false">E24-$C$6</f>
        <v>-2448</v>
      </c>
      <c r="H24" s="45" t="n">
        <f aca="false">F24-$C$6</f>
        <v>2448</v>
      </c>
      <c r="I24" s="29" t="n">
        <f aca="false">ABS(F24-E24)</f>
        <v>4896</v>
      </c>
      <c r="J24" s="48" t="n">
        <f aca="false">IFERROR(I24/$C$6,"n/a")</f>
        <v>0.000352305093222662</v>
      </c>
      <c r="K24" s="39" t="n">
        <f aca="false">RANK(I24,$I$11:$I$26)</f>
        <v>15</v>
      </c>
    </row>
    <row r="25" customFormat="false" ht="15" hidden="false" customHeight="false" outlineLevel="0" collapsed="false">
      <c r="A25" s="18" t="s">
        <v>60</v>
      </c>
      <c r="B25" s="52" t="n">
        <f aca="false">S43</f>
        <v>0.02</v>
      </c>
      <c r="C25" s="52" t="n">
        <f aca="false">S75</f>
        <v>0.018</v>
      </c>
      <c r="D25" s="52" t="n">
        <f aca="false">S76</f>
        <v>0.022</v>
      </c>
      <c r="E25" s="45" t="n">
        <f aca="false">AC75</f>
        <v>13890945.4922333</v>
      </c>
      <c r="F25" s="45" t="n">
        <f aca="false">AC76</f>
        <v>13903146.0164333</v>
      </c>
      <c r="G25" s="45" t="n">
        <f aca="false">E25-$C$6</f>
        <v>-6100.26209999993</v>
      </c>
      <c r="H25" s="45" t="n">
        <f aca="false">F25-$C$6</f>
        <v>6100.26209999993</v>
      </c>
      <c r="I25" s="29" t="n">
        <f aca="false">ABS(F25-E25)</f>
        <v>12200.5241999999</v>
      </c>
      <c r="J25" s="48" t="n">
        <f aca="false">IFERROR(I25/$C$6,"n/a")</f>
        <v>0.000877922143718606</v>
      </c>
      <c r="K25" s="39" t="n">
        <f aca="false">RANK(I25,$I$11:$I$26)</f>
        <v>12</v>
      </c>
    </row>
    <row r="26" customFormat="false" ht="15" hidden="false" customHeight="false" outlineLevel="0" collapsed="false">
      <c r="A26" s="18" t="s">
        <v>293</v>
      </c>
      <c r="B26" s="21" t="n">
        <f aca="false">G43</f>
        <v>4</v>
      </c>
      <c r="C26" s="21" t="n">
        <f aca="false">G77</f>
        <v>3</v>
      </c>
      <c r="D26" s="21" t="n">
        <f aca="false">G78</f>
        <v>5</v>
      </c>
      <c r="E26" s="45" t="n">
        <f aca="false">AC77</f>
        <v>13927348.4498333</v>
      </c>
      <c r="F26" s="45" t="n">
        <f aca="false">AC78</f>
        <v>13866492.6233333</v>
      </c>
      <c r="G26" s="45" t="n">
        <f aca="false">E26-$C$6</f>
        <v>30302.6954999995</v>
      </c>
      <c r="H26" s="45" t="n">
        <f aca="false">F26-$C$6</f>
        <v>-30553.131000001</v>
      </c>
      <c r="I26" s="29" t="n">
        <f aca="false">ABS(F26-E26)</f>
        <v>60855.8265000004</v>
      </c>
      <c r="J26" s="48" t="n">
        <f aca="false">IFERROR(I26/$C$6,"n/a")</f>
        <v>0.00437904771818317</v>
      </c>
      <c r="K26" s="39" t="n">
        <f aca="false">RANK(I26,$I$11:$I$26)</f>
        <v>6</v>
      </c>
    </row>
    <row r="28" customFormat="false" ht="19.5" hidden="false" customHeight="true" outlineLevel="0" collapsed="false">
      <c r="A28" s="17" t="s">
        <v>294</v>
      </c>
      <c r="B28" s="6"/>
      <c r="C28" s="6"/>
      <c r="D28" s="6"/>
      <c r="E28" s="6"/>
      <c r="F28" s="6"/>
      <c r="G28" s="6"/>
      <c r="H28" s="6"/>
      <c r="I28" s="6"/>
      <c r="J28" s="6"/>
      <c r="K28" s="6"/>
    </row>
    <row r="29" customFormat="false" ht="31.5" hidden="false" customHeight="true" outlineLevel="0" collapsed="false">
      <c r="A29" s="22" t="s">
        <v>107</v>
      </c>
      <c r="B29" s="23" t="s">
        <v>270</v>
      </c>
      <c r="C29" s="23" t="s">
        <v>295</v>
      </c>
      <c r="D29" s="23" t="s">
        <v>296</v>
      </c>
      <c r="E29" s="23" t="s">
        <v>297</v>
      </c>
    </row>
    <row r="30" customFormat="false" ht="15" hidden="false" customHeight="false" outlineLevel="0" collapsed="false">
      <c r="A30" s="18" t="s">
        <v>282</v>
      </c>
      <c r="B30" s="52" t="n">
        <f aca="false">D43</f>
        <v>0.035</v>
      </c>
      <c r="C30" s="52" t="n">
        <f aca="false">D79</f>
        <v>0.045</v>
      </c>
      <c r="D30" s="45" t="n">
        <f aca="false">AC79</f>
        <v>13977042.0083333</v>
      </c>
      <c r="E30" s="29" t="n">
        <f aca="false">D30-$C$6</f>
        <v>79996.2539999988</v>
      </c>
    </row>
    <row r="31" customFormat="false" ht="15" hidden="false" customHeight="false" outlineLevel="0" collapsed="false">
      <c r="A31" s="18" t="s">
        <v>283</v>
      </c>
      <c r="B31" s="52" t="n">
        <f aca="false">E43</f>
        <v>0.01</v>
      </c>
      <c r="C31" s="52" t="n">
        <f aca="false">E80</f>
        <v>0.02</v>
      </c>
      <c r="D31" s="45" t="n">
        <f aca="false">AC80</f>
        <v>13956673.2543333</v>
      </c>
      <c r="E31" s="29" t="n">
        <f aca="false">D31-$C$6</f>
        <v>59627.5</v>
      </c>
    </row>
    <row r="32" customFormat="false" ht="15" hidden="false" customHeight="false" outlineLevel="0" collapsed="false">
      <c r="A32" s="18" t="s">
        <v>287</v>
      </c>
      <c r="B32" s="52" t="n">
        <f aca="false">L43</f>
        <v>0.08</v>
      </c>
      <c r="C32" s="52" t="n">
        <f aca="false">L81</f>
        <v>0.09</v>
      </c>
      <c r="D32" s="45" t="n">
        <f aca="false">AC81</f>
        <v>13910883.7543333</v>
      </c>
      <c r="E32" s="29" t="n">
        <f aca="false">D32-$C$6</f>
        <v>13838</v>
      </c>
    </row>
    <row r="33" customFormat="false" ht="15" hidden="false" customHeight="false" outlineLevel="0" collapsed="false">
      <c r="A33" s="18" t="s">
        <v>284</v>
      </c>
      <c r="B33" s="52" t="n">
        <f aca="false">I43</f>
        <v>0.08</v>
      </c>
      <c r="C33" s="52" t="n">
        <f aca="false">I82</f>
        <v>0.09</v>
      </c>
      <c r="D33" s="45" t="n">
        <f aca="false">AC82</f>
        <v>14007062.0575833</v>
      </c>
      <c r="E33" s="29" t="n">
        <f aca="false">D33-$C$6</f>
        <v>110016.303250002</v>
      </c>
    </row>
    <row r="34" customFormat="false" ht="15" hidden="false" customHeight="false" outlineLevel="0" collapsed="false">
      <c r="A34" s="18" t="s">
        <v>285</v>
      </c>
      <c r="B34" s="52" t="n">
        <f aca="false">J43</f>
        <v>0.04</v>
      </c>
      <c r="C34" s="52" t="n">
        <f aca="false">J83</f>
        <v>0.05</v>
      </c>
      <c r="D34" s="45" t="n">
        <f aca="false">AC83</f>
        <v>14007062.0575833</v>
      </c>
      <c r="E34" s="29" t="n">
        <f aca="false">D34-$C$6</f>
        <v>110016.303250002</v>
      </c>
    </row>
    <row r="35" customFormat="false" ht="15" hidden="false" customHeight="false" outlineLevel="0" collapsed="false">
      <c r="A35" s="18" t="s">
        <v>60</v>
      </c>
      <c r="B35" s="52" t="n">
        <f aca="false">S43</f>
        <v>0.02</v>
      </c>
      <c r="C35" s="52" t="n">
        <f aca="false">S84</f>
        <v>0.03</v>
      </c>
      <c r="D35" s="45" t="n">
        <f aca="false">AC84</f>
        <v>13927547.0648333</v>
      </c>
      <c r="E35" s="29" t="n">
        <f aca="false">D35-$C$6</f>
        <v>30501.3105000015</v>
      </c>
    </row>
    <row r="36" customFormat="false" ht="15" hidden="false" customHeight="false" outlineLevel="0" collapsed="false">
      <c r="A36" s="18" t="s">
        <v>298</v>
      </c>
      <c r="B36" s="41" t="n">
        <f aca="false">M43</f>
        <v>24</v>
      </c>
      <c r="C36" s="41" t="n">
        <f aca="false">M85</f>
        <v>25</v>
      </c>
      <c r="D36" s="45" t="n">
        <f aca="false">AC85</f>
        <v>13901125.7543333</v>
      </c>
      <c r="E36" s="29" t="n">
        <f aca="false">D36-$C$6</f>
        <v>4080</v>
      </c>
    </row>
    <row r="37" customFormat="false" ht="15" hidden="false" customHeight="true" outlineLevel="0" collapsed="false">
      <c r="A37" s="16" t="s">
        <v>299</v>
      </c>
      <c r="B37" s="16"/>
      <c r="C37" s="16"/>
      <c r="D37" s="16"/>
      <c r="E37" s="16"/>
      <c r="F37" s="16"/>
      <c r="G37" s="16"/>
      <c r="H37" s="16"/>
      <c r="I37" s="16"/>
      <c r="J37" s="16"/>
      <c r="K37" s="16"/>
    </row>
    <row r="40" customFormat="false" ht="19.5" hidden="false" customHeight="true" outlineLevel="0" collapsed="false">
      <c r="A40" s="17" t="s">
        <v>300</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row>
    <row r="42" customFormat="false" ht="57.75" hidden="false" customHeight="true" outlineLevel="0" collapsed="false">
      <c r="A42" s="22" t="s">
        <v>301</v>
      </c>
      <c r="B42" s="23" t="s">
        <v>302</v>
      </c>
      <c r="C42" s="23" t="s">
        <v>303</v>
      </c>
      <c r="D42" s="23" t="s">
        <v>282</v>
      </c>
      <c r="E42" s="23" t="s">
        <v>283</v>
      </c>
      <c r="F42" s="23" t="s">
        <v>304</v>
      </c>
      <c r="G42" s="23" t="s">
        <v>305</v>
      </c>
      <c r="H42" s="23" t="s">
        <v>306</v>
      </c>
      <c r="I42" s="23" t="s">
        <v>307</v>
      </c>
      <c r="J42" s="23" t="s">
        <v>197</v>
      </c>
      <c r="K42" s="23" t="s">
        <v>308</v>
      </c>
      <c r="L42" s="23" t="s">
        <v>309</v>
      </c>
      <c r="M42" s="23" t="s">
        <v>310</v>
      </c>
      <c r="N42" s="23" t="s">
        <v>289</v>
      </c>
      <c r="O42" s="23" t="s">
        <v>290</v>
      </c>
      <c r="P42" s="23" t="s">
        <v>311</v>
      </c>
      <c r="Q42" s="23" t="s">
        <v>312</v>
      </c>
      <c r="R42" s="23" t="s">
        <v>207</v>
      </c>
      <c r="S42" s="23" t="s">
        <v>60</v>
      </c>
      <c r="T42" s="23" t="s">
        <v>313</v>
      </c>
      <c r="U42" s="23" t="s">
        <v>314</v>
      </c>
      <c r="V42" s="23" t="s">
        <v>315</v>
      </c>
      <c r="W42" s="23" t="s">
        <v>316</v>
      </c>
      <c r="X42" s="23" t="s">
        <v>317</v>
      </c>
      <c r="Y42" s="23" t="s">
        <v>42</v>
      </c>
      <c r="Z42" s="23" t="s">
        <v>44</v>
      </c>
      <c r="AA42" s="23" t="s">
        <v>318</v>
      </c>
      <c r="AB42" s="23" t="s">
        <v>60</v>
      </c>
      <c r="AC42" s="23" t="s">
        <v>237</v>
      </c>
    </row>
    <row r="43" customFormat="false" ht="15" hidden="false" customHeight="false" outlineLevel="0" collapsed="false">
      <c r="A43" s="44" t="s">
        <v>319</v>
      </c>
      <c r="B43" s="45" t="n">
        <f aca="false">Assumptions!$C$22</f>
        <v>85000</v>
      </c>
      <c r="C43" s="54" t="n">
        <f aca="false">1</f>
        <v>1</v>
      </c>
      <c r="D43" s="52" t="n">
        <f aca="false">Assumptions!$F$13</f>
        <v>0.035</v>
      </c>
      <c r="E43" s="52" t="n">
        <f aca="false">Assumptions!$F$14</f>
        <v>0.01</v>
      </c>
      <c r="F43" s="48" t="n">
        <f aca="false">Assumptions!$C$23</f>
        <v>0.9</v>
      </c>
      <c r="G43" s="21" t="n">
        <f aca="false">Assumptions!$C$24</f>
        <v>4</v>
      </c>
      <c r="H43" s="21" t="n">
        <f aca="false">Assumptions!$C$25</f>
        <v>7</v>
      </c>
      <c r="I43" s="52" t="n">
        <f aca="false">Assumptions!$C$26</f>
        <v>0.08</v>
      </c>
      <c r="J43" s="52" t="n">
        <f aca="false">Assumptions!$C$27</f>
        <v>0.04</v>
      </c>
      <c r="K43" s="45" t="n">
        <f aca="false">Assumptions!$C$28</f>
        <v>11000</v>
      </c>
      <c r="L43" s="52" t="n">
        <f aca="false">Assumptions!$F$15</f>
        <v>0.08</v>
      </c>
      <c r="M43" s="41" t="n">
        <f aca="false">Assumptions!$F$16</f>
        <v>24</v>
      </c>
      <c r="N43" s="45" t="n">
        <f aca="false">Assumptions!$F$17</f>
        <v>4000</v>
      </c>
      <c r="O43" s="45" t="n">
        <f aca="false">Assumptions!$C$29</f>
        <v>900</v>
      </c>
      <c r="P43" s="45" t="n">
        <f aca="false">Assumptions!$C$30</f>
        <v>36000</v>
      </c>
      <c r="Q43" s="37" t="n">
        <f aca="false">Assumptions!$C$31</f>
        <v>14</v>
      </c>
      <c r="R43" s="45" t="n">
        <f aca="false">Assumptions!$C$32</f>
        <v>24000</v>
      </c>
      <c r="S43" s="52" t="n">
        <f aca="false">Assumptions!$F$18</f>
        <v>0.02</v>
      </c>
      <c r="T43" s="21" t="n">
        <f aca="false">IF(Assumptions!$C$33="All except base pay",1,0)</f>
        <v>1</v>
      </c>
      <c r="U43" s="41" t="n">
        <f aca="false">SUM(Assumptions!$C$59:$C$70)*C43</f>
        <v>1480</v>
      </c>
      <c r="V43" s="41" t="n">
        <f aca="false">SUMPRODUCT(Assumptions!$C$59:$C$70*(Assumptions!$B$59:$B$70&gt;=G43))*C43</f>
        <v>1118</v>
      </c>
      <c r="W43" s="41" t="n">
        <f aca="false">SUMPRODUCT(Assumptions!$C$59:$C$70*(Assumptions!$B$59:$B$70&gt;=H43))*C43</f>
        <v>750</v>
      </c>
      <c r="X43" s="45" t="n">
        <f aca="false">B43/12*(U43+D43*F43*V43+E43*W43)</f>
        <v>10785912.0833333</v>
      </c>
      <c r="Y43" s="45" t="n">
        <f aca="false">X43*(1+I43+J43)+Assumptions!$C$50+K43*(1+L43)/12*U43</f>
        <v>13548323.1333333</v>
      </c>
      <c r="Z43" s="45" t="n">
        <f aca="false">M43*N43*Assumptions!$C$41+O43/12*U43+P43+Q43*U43+R43</f>
        <v>287720</v>
      </c>
      <c r="AA43" s="45" t="n">
        <f aca="false">Y43+Z43</f>
        <v>13836043.1333333</v>
      </c>
      <c r="AB43" s="45" t="n">
        <f aca="false">S43*(AA43-T43*X43)</f>
        <v>61002.621</v>
      </c>
      <c r="AC43" s="29" t="n">
        <f aca="false">AA43+AB43</f>
        <v>13897045.7543333</v>
      </c>
    </row>
    <row r="44" customFormat="false" ht="15" hidden="false" customHeight="false" outlineLevel="0" collapsed="false">
      <c r="A44" s="44" t="s">
        <v>320</v>
      </c>
      <c r="B44" s="45" t="n">
        <f aca="false">Assumptions!$C$22</f>
        <v>85000</v>
      </c>
      <c r="C44" s="54" t="n">
        <f aca="false">1</f>
        <v>1</v>
      </c>
      <c r="D44" s="52" t="n">
        <f aca="false">Assumptions!$C$13</f>
        <v>0.025</v>
      </c>
      <c r="E44" s="52" t="n">
        <f aca="false">Assumptions!$C$14</f>
        <v>0.005</v>
      </c>
      <c r="F44" s="48" t="n">
        <f aca="false">Assumptions!$C$23</f>
        <v>0.9</v>
      </c>
      <c r="G44" s="21" t="n">
        <f aca="false">Assumptions!$C$24</f>
        <v>4</v>
      </c>
      <c r="H44" s="21" t="n">
        <f aca="false">Assumptions!$C$25</f>
        <v>7</v>
      </c>
      <c r="I44" s="52" t="n">
        <f aca="false">Assumptions!$C$26</f>
        <v>0.08</v>
      </c>
      <c r="J44" s="52" t="n">
        <f aca="false">Assumptions!$C$27</f>
        <v>0.04</v>
      </c>
      <c r="K44" s="45" t="n">
        <f aca="false">Assumptions!$C$28</f>
        <v>11000</v>
      </c>
      <c r="L44" s="52" t="n">
        <f aca="false">Assumptions!$C$15</f>
        <v>0.06</v>
      </c>
      <c r="M44" s="41" t="n">
        <f aca="false">Assumptions!$C$16</f>
        <v>20</v>
      </c>
      <c r="N44" s="45" t="n">
        <f aca="false">Assumptions!$C$17</f>
        <v>3000</v>
      </c>
      <c r="O44" s="45" t="n">
        <f aca="false">Assumptions!$C$29</f>
        <v>900</v>
      </c>
      <c r="P44" s="45" t="n">
        <f aca="false">Assumptions!$C$30</f>
        <v>36000</v>
      </c>
      <c r="Q44" s="37" t="n">
        <f aca="false">Assumptions!$C$31</f>
        <v>14</v>
      </c>
      <c r="R44" s="45" t="n">
        <f aca="false">Assumptions!$C$32</f>
        <v>24000</v>
      </c>
      <c r="S44" s="52" t="n">
        <f aca="false">Assumptions!$C$18</f>
        <v>0.01</v>
      </c>
      <c r="T44" s="21" t="n">
        <f aca="false">IF(Assumptions!$C$33="All except base pay",1,0)</f>
        <v>1</v>
      </c>
      <c r="U44" s="41" t="n">
        <f aca="false">SUM(Assumptions!$C$59:$C$70)*C44</f>
        <v>1480</v>
      </c>
      <c r="V44" s="41" t="n">
        <f aca="false">SUMPRODUCT(Assumptions!$C$59:$C$70*(Assumptions!$B$59:$B$70&gt;=G44))*C44</f>
        <v>1118</v>
      </c>
      <c r="W44" s="41" t="n">
        <f aca="false">SUMPRODUCT(Assumptions!$C$59:$C$70*(Assumptions!$B$59:$B$70&gt;=H44))*C44</f>
        <v>750</v>
      </c>
      <c r="X44" s="45" t="n">
        <f aca="false">B44/12*(U44+D44*F44*V44+E44*W44)</f>
        <v>10688077.0833333</v>
      </c>
      <c r="Y44" s="45" t="n">
        <f aca="false">X44*(1+I44+J44)+Assumptions!$C$50+K44*(1+L44)/12*U44</f>
        <v>13411614.6</v>
      </c>
      <c r="Z44" s="45" t="n">
        <f aca="false">M44*N44*Assumptions!$C$41+O44/12*U44+P44+Q44*U44+R44</f>
        <v>251720</v>
      </c>
      <c r="AA44" s="45" t="n">
        <f aca="false">Y44+Z44</f>
        <v>13663334.6</v>
      </c>
      <c r="AB44" s="45" t="n">
        <f aca="false">S44*(AA44-T44*X44)</f>
        <v>29752.5751666667</v>
      </c>
      <c r="AC44" s="29" t="n">
        <f aca="false">AA44+AB44</f>
        <v>13693087.1751667</v>
      </c>
    </row>
    <row r="45" customFormat="false" ht="15" hidden="false" customHeight="false" outlineLevel="0" collapsed="false">
      <c r="A45" s="44" t="s">
        <v>321</v>
      </c>
      <c r="B45" s="45" t="n">
        <f aca="false">Assumptions!$C$22</f>
        <v>85000</v>
      </c>
      <c r="C45" s="54" t="n">
        <f aca="false">1</f>
        <v>1</v>
      </c>
      <c r="D45" s="52" t="n">
        <f aca="false">Assumptions!$D$13</f>
        <v>0.035</v>
      </c>
      <c r="E45" s="52" t="n">
        <f aca="false">Assumptions!$D$14</f>
        <v>0.01</v>
      </c>
      <c r="F45" s="48" t="n">
        <f aca="false">Assumptions!$C$23</f>
        <v>0.9</v>
      </c>
      <c r="G45" s="21" t="n">
        <f aca="false">Assumptions!$C$24</f>
        <v>4</v>
      </c>
      <c r="H45" s="21" t="n">
        <f aca="false">Assumptions!$C$25</f>
        <v>7</v>
      </c>
      <c r="I45" s="52" t="n">
        <f aca="false">Assumptions!$C$26</f>
        <v>0.08</v>
      </c>
      <c r="J45" s="52" t="n">
        <f aca="false">Assumptions!$C$27</f>
        <v>0.04</v>
      </c>
      <c r="K45" s="45" t="n">
        <f aca="false">Assumptions!$C$28</f>
        <v>11000</v>
      </c>
      <c r="L45" s="52" t="n">
        <f aca="false">Assumptions!$D$15</f>
        <v>0.08</v>
      </c>
      <c r="M45" s="41" t="n">
        <f aca="false">Assumptions!$D$16</f>
        <v>24</v>
      </c>
      <c r="N45" s="45" t="n">
        <f aca="false">Assumptions!$D$17</f>
        <v>4000</v>
      </c>
      <c r="O45" s="45" t="n">
        <f aca="false">Assumptions!$C$29</f>
        <v>900</v>
      </c>
      <c r="P45" s="45" t="n">
        <f aca="false">Assumptions!$C$30</f>
        <v>36000</v>
      </c>
      <c r="Q45" s="37" t="n">
        <f aca="false">Assumptions!$C$31</f>
        <v>14</v>
      </c>
      <c r="R45" s="45" t="n">
        <f aca="false">Assumptions!$C$32</f>
        <v>24000</v>
      </c>
      <c r="S45" s="52" t="n">
        <f aca="false">Assumptions!$D$18</f>
        <v>0.02</v>
      </c>
      <c r="T45" s="21" t="n">
        <f aca="false">IF(Assumptions!$C$33="All except base pay",1,0)</f>
        <v>1</v>
      </c>
      <c r="U45" s="41" t="n">
        <f aca="false">SUM(Assumptions!$C$59:$C$70)*C45</f>
        <v>1480</v>
      </c>
      <c r="V45" s="41" t="n">
        <f aca="false">SUMPRODUCT(Assumptions!$C$59:$C$70*(Assumptions!$B$59:$B$70&gt;=G45))*C45</f>
        <v>1118</v>
      </c>
      <c r="W45" s="41" t="n">
        <f aca="false">SUMPRODUCT(Assumptions!$C$59:$C$70*(Assumptions!$B$59:$B$70&gt;=H45))*C45</f>
        <v>750</v>
      </c>
      <c r="X45" s="45" t="n">
        <f aca="false">B45/12*(U45+D45*F45*V45+E45*W45)</f>
        <v>10785912.0833333</v>
      </c>
      <c r="Y45" s="45" t="n">
        <f aca="false">X45*(1+I45+J45)+Assumptions!$C$50+K45*(1+L45)/12*U45</f>
        <v>13548323.1333333</v>
      </c>
      <c r="Z45" s="45" t="n">
        <f aca="false">M45*N45*Assumptions!$C$41+O45/12*U45+P45+Q45*U45+R45</f>
        <v>287720</v>
      </c>
      <c r="AA45" s="45" t="n">
        <f aca="false">Y45+Z45</f>
        <v>13836043.1333333</v>
      </c>
      <c r="AB45" s="45" t="n">
        <f aca="false">S45*(AA45-T45*X45)</f>
        <v>61002.621</v>
      </c>
      <c r="AC45" s="29" t="n">
        <f aca="false">AA45+AB45</f>
        <v>13897045.7543333</v>
      </c>
    </row>
    <row r="46" customFormat="false" ht="15" hidden="false" customHeight="false" outlineLevel="0" collapsed="false">
      <c r="A46" s="44" t="s">
        <v>322</v>
      </c>
      <c r="B46" s="45" t="n">
        <f aca="false">Assumptions!$C$22</f>
        <v>85000</v>
      </c>
      <c r="C46" s="54" t="n">
        <f aca="false">1</f>
        <v>1</v>
      </c>
      <c r="D46" s="52" t="n">
        <f aca="false">Assumptions!$E$13</f>
        <v>0.045</v>
      </c>
      <c r="E46" s="52" t="n">
        <f aca="false">Assumptions!$E$14</f>
        <v>0.015</v>
      </c>
      <c r="F46" s="48" t="n">
        <f aca="false">Assumptions!$C$23</f>
        <v>0.9</v>
      </c>
      <c r="G46" s="21" t="n">
        <f aca="false">Assumptions!$C$24</f>
        <v>4</v>
      </c>
      <c r="H46" s="21" t="n">
        <f aca="false">Assumptions!$C$25</f>
        <v>7</v>
      </c>
      <c r="I46" s="52" t="n">
        <f aca="false">Assumptions!$C$26</f>
        <v>0.08</v>
      </c>
      <c r="J46" s="52" t="n">
        <f aca="false">Assumptions!$C$27</f>
        <v>0.04</v>
      </c>
      <c r="K46" s="45" t="n">
        <f aca="false">Assumptions!$C$28</f>
        <v>11000</v>
      </c>
      <c r="L46" s="52" t="n">
        <f aca="false">Assumptions!$E$15</f>
        <v>0.1</v>
      </c>
      <c r="M46" s="41" t="n">
        <f aca="false">Assumptions!$E$16</f>
        <v>30</v>
      </c>
      <c r="N46" s="45" t="n">
        <f aca="false">Assumptions!$E$17</f>
        <v>5500</v>
      </c>
      <c r="O46" s="45" t="n">
        <f aca="false">Assumptions!$C$29</f>
        <v>900</v>
      </c>
      <c r="P46" s="45" t="n">
        <f aca="false">Assumptions!$C$30</f>
        <v>36000</v>
      </c>
      <c r="Q46" s="37" t="n">
        <f aca="false">Assumptions!$C$31</f>
        <v>14</v>
      </c>
      <c r="R46" s="45" t="n">
        <f aca="false">Assumptions!$C$32</f>
        <v>24000</v>
      </c>
      <c r="S46" s="52" t="n">
        <f aca="false">Assumptions!$E$18</f>
        <v>0.03</v>
      </c>
      <c r="T46" s="21" t="n">
        <f aca="false">IF(Assumptions!$C$33="All except base pay",1,0)</f>
        <v>1</v>
      </c>
      <c r="U46" s="41" t="n">
        <f aca="false">SUM(Assumptions!$C$59:$C$70)*C46</f>
        <v>1480</v>
      </c>
      <c r="V46" s="41" t="n">
        <f aca="false">SUMPRODUCT(Assumptions!$C$59:$C$70*(Assumptions!$B$59:$B$70&gt;=G46))*C46</f>
        <v>1118</v>
      </c>
      <c r="W46" s="41" t="n">
        <f aca="false">SUMPRODUCT(Assumptions!$C$59:$C$70*(Assumptions!$B$59:$B$70&gt;=H46))*C46</f>
        <v>750</v>
      </c>
      <c r="X46" s="45" t="n">
        <f aca="false">B46/12*(U46+D46*F46*V46+E46*W46)</f>
        <v>10883747.0833333</v>
      </c>
      <c r="Y46" s="45" t="n">
        <f aca="false">X46*(1+I46+J46)+Assumptions!$C$50+K46*(1+L46)/12*U46</f>
        <v>13685031.6666667</v>
      </c>
      <c r="Z46" s="45" t="n">
        <f aca="false">M46*N46*Assumptions!$C$41+O46/12*U46+P46+Q46*U46+R46</f>
        <v>356720</v>
      </c>
      <c r="AA46" s="45" t="n">
        <f aca="false">Y46+Z46</f>
        <v>14041751.6666667</v>
      </c>
      <c r="AB46" s="45" t="n">
        <f aca="false">S46*(AA46-T46*X46)</f>
        <v>94740.1375</v>
      </c>
      <c r="AC46" s="29" t="n">
        <f aca="false">AA46+AB46</f>
        <v>14136491.8041667</v>
      </c>
    </row>
    <row r="47" customFormat="false" ht="15" hidden="false" customHeight="false" outlineLevel="0" collapsed="false">
      <c r="A47" s="44" t="s">
        <v>323</v>
      </c>
      <c r="B47" s="45" t="n">
        <f aca="false">$B$43*(1-$C$4)</f>
        <v>76500</v>
      </c>
      <c r="C47" s="54" t="n">
        <f aca="false">1</f>
        <v>1</v>
      </c>
      <c r="D47" s="52" t="n">
        <f aca="false">Assumptions!$F$13</f>
        <v>0.035</v>
      </c>
      <c r="E47" s="52" t="n">
        <f aca="false">Assumptions!$F$14</f>
        <v>0.01</v>
      </c>
      <c r="F47" s="48" t="n">
        <f aca="false">Assumptions!$C$23</f>
        <v>0.9</v>
      </c>
      <c r="G47" s="21" t="n">
        <f aca="false">Assumptions!$C$24</f>
        <v>4</v>
      </c>
      <c r="H47" s="21" t="n">
        <f aca="false">Assumptions!$C$25</f>
        <v>7</v>
      </c>
      <c r="I47" s="52" t="n">
        <f aca="false">Assumptions!$C$26</f>
        <v>0.08</v>
      </c>
      <c r="J47" s="52" t="n">
        <f aca="false">Assumptions!$C$27</f>
        <v>0.04</v>
      </c>
      <c r="K47" s="45" t="n">
        <f aca="false">Assumptions!$C$28</f>
        <v>11000</v>
      </c>
      <c r="L47" s="52" t="n">
        <f aca="false">Assumptions!$F$15</f>
        <v>0.08</v>
      </c>
      <c r="M47" s="41" t="n">
        <f aca="false">Assumptions!$F$16</f>
        <v>24</v>
      </c>
      <c r="N47" s="45" t="n">
        <f aca="false">Assumptions!$F$17</f>
        <v>4000</v>
      </c>
      <c r="O47" s="45" t="n">
        <f aca="false">Assumptions!$C$29</f>
        <v>900</v>
      </c>
      <c r="P47" s="45" t="n">
        <f aca="false">Assumptions!$C$30</f>
        <v>36000</v>
      </c>
      <c r="Q47" s="37" t="n">
        <f aca="false">Assumptions!$C$31</f>
        <v>14</v>
      </c>
      <c r="R47" s="45" t="n">
        <f aca="false">Assumptions!$C$32</f>
        <v>24000</v>
      </c>
      <c r="S47" s="52" t="n">
        <f aca="false">Assumptions!$F$18</f>
        <v>0.02</v>
      </c>
      <c r="T47" s="21" t="n">
        <f aca="false">IF(Assumptions!$C$33="All except base pay",1,0)</f>
        <v>1</v>
      </c>
      <c r="U47" s="41" t="n">
        <f aca="false">SUM(Assumptions!$C$59:$C$70)*C47</f>
        <v>1480</v>
      </c>
      <c r="V47" s="41" t="n">
        <f aca="false">SUMPRODUCT(Assumptions!$C$59:$C$70*(Assumptions!$B$59:$B$70&gt;=G47))*C47</f>
        <v>1118</v>
      </c>
      <c r="W47" s="41" t="n">
        <f aca="false">SUMPRODUCT(Assumptions!$C$59:$C$70*(Assumptions!$B$59:$B$70&gt;=H47))*C47</f>
        <v>750</v>
      </c>
      <c r="X47" s="45" t="n">
        <f aca="false">B47/12*(U47+D47*F47*V47+E47*W47)</f>
        <v>9707320.875</v>
      </c>
      <c r="Y47" s="45" t="n">
        <f aca="false">X47*(1+I47+J47)+Assumptions!$C$50+K47*(1+L47)/12*U47</f>
        <v>12340300.98</v>
      </c>
      <c r="Z47" s="45" t="n">
        <f aca="false">M47*N47*Assumptions!$C$41+O47/12*U47+P47+Q47*U47+R47</f>
        <v>287720</v>
      </c>
      <c r="AA47" s="45" t="n">
        <f aca="false">Y47+Z47</f>
        <v>12628020.98</v>
      </c>
      <c r="AB47" s="45" t="n">
        <f aca="false">S47*(AA47-T47*X47)</f>
        <v>58414.0021</v>
      </c>
      <c r="AC47" s="29" t="n">
        <f aca="false">AA47+AB47</f>
        <v>12686434.9821</v>
      </c>
    </row>
    <row r="48" customFormat="false" ht="15" hidden="false" customHeight="false" outlineLevel="0" collapsed="false">
      <c r="A48" s="44" t="s">
        <v>324</v>
      </c>
      <c r="B48" s="45" t="n">
        <f aca="false">$B$43*(1+$C$4)</f>
        <v>93500</v>
      </c>
      <c r="C48" s="54" t="n">
        <f aca="false">1</f>
        <v>1</v>
      </c>
      <c r="D48" s="52" t="n">
        <f aca="false">Assumptions!$F$13</f>
        <v>0.035</v>
      </c>
      <c r="E48" s="52" t="n">
        <f aca="false">Assumptions!$F$14</f>
        <v>0.01</v>
      </c>
      <c r="F48" s="48" t="n">
        <f aca="false">Assumptions!$C$23</f>
        <v>0.9</v>
      </c>
      <c r="G48" s="21" t="n">
        <f aca="false">Assumptions!$C$24</f>
        <v>4</v>
      </c>
      <c r="H48" s="21" t="n">
        <f aca="false">Assumptions!$C$25</f>
        <v>7</v>
      </c>
      <c r="I48" s="52" t="n">
        <f aca="false">Assumptions!$C$26</f>
        <v>0.08</v>
      </c>
      <c r="J48" s="52" t="n">
        <f aca="false">Assumptions!$C$27</f>
        <v>0.04</v>
      </c>
      <c r="K48" s="45" t="n">
        <f aca="false">Assumptions!$C$28</f>
        <v>11000</v>
      </c>
      <c r="L48" s="52" t="n">
        <f aca="false">Assumptions!$F$15</f>
        <v>0.08</v>
      </c>
      <c r="M48" s="41" t="n">
        <f aca="false">Assumptions!$F$16</f>
        <v>24</v>
      </c>
      <c r="N48" s="45" t="n">
        <f aca="false">Assumptions!$F$17</f>
        <v>4000</v>
      </c>
      <c r="O48" s="45" t="n">
        <f aca="false">Assumptions!$C$29</f>
        <v>900</v>
      </c>
      <c r="P48" s="45" t="n">
        <f aca="false">Assumptions!$C$30</f>
        <v>36000</v>
      </c>
      <c r="Q48" s="37" t="n">
        <f aca="false">Assumptions!$C$31</f>
        <v>14</v>
      </c>
      <c r="R48" s="45" t="n">
        <f aca="false">Assumptions!$C$32</f>
        <v>24000</v>
      </c>
      <c r="S48" s="52" t="n">
        <f aca="false">Assumptions!$F$18</f>
        <v>0.02</v>
      </c>
      <c r="T48" s="21" t="n">
        <f aca="false">IF(Assumptions!$C$33="All except base pay",1,0)</f>
        <v>1</v>
      </c>
      <c r="U48" s="41" t="n">
        <f aca="false">SUM(Assumptions!$C$59:$C$70)*C48</f>
        <v>1480</v>
      </c>
      <c r="V48" s="41" t="n">
        <f aca="false">SUMPRODUCT(Assumptions!$C$59:$C$70*(Assumptions!$B$59:$B$70&gt;=G48))*C48</f>
        <v>1118</v>
      </c>
      <c r="W48" s="41" t="n">
        <f aca="false">SUMPRODUCT(Assumptions!$C$59:$C$70*(Assumptions!$B$59:$B$70&gt;=H48))*C48</f>
        <v>750</v>
      </c>
      <c r="X48" s="45" t="n">
        <f aca="false">B48/12*(U48+D48*F48*V48+E48*W48)</f>
        <v>11864503.2916667</v>
      </c>
      <c r="Y48" s="45" t="n">
        <f aca="false">X48*(1+I48+J48)+Assumptions!$C$50+K48*(1+L48)/12*U48</f>
        <v>14756345.2866667</v>
      </c>
      <c r="Z48" s="45" t="n">
        <f aca="false">M48*N48*Assumptions!$C$41+O48/12*U48+P48+Q48*U48+R48</f>
        <v>287720</v>
      </c>
      <c r="AA48" s="45" t="n">
        <f aca="false">Y48+Z48</f>
        <v>15044065.2866667</v>
      </c>
      <c r="AB48" s="45" t="n">
        <f aca="false">S48*(AA48-T48*X48)</f>
        <v>63591.2399</v>
      </c>
      <c r="AC48" s="29" t="n">
        <f aca="false">AA48+AB48</f>
        <v>15107656.5265667</v>
      </c>
    </row>
    <row r="49" customFormat="false" ht="15" hidden="false" customHeight="false" outlineLevel="0" collapsed="false">
      <c r="A49" s="44" t="s">
        <v>325</v>
      </c>
      <c r="B49" s="45" t="n">
        <f aca="false">Assumptions!$C$22</f>
        <v>85000</v>
      </c>
      <c r="C49" s="54" t="n">
        <f aca="false">1-$C$4</f>
        <v>0.9</v>
      </c>
      <c r="D49" s="52" t="n">
        <f aca="false">Assumptions!$F$13</f>
        <v>0.035</v>
      </c>
      <c r="E49" s="52" t="n">
        <f aca="false">Assumptions!$F$14</f>
        <v>0.01</v>
      </c>
      <c r="F49" s="48" t="n">
        <f aca="false">Assumptions!$C$23</f>
        <v>0.9</v>
      </c>
      <c r="G49" s="21" t="n">
        <f aca="false">Assumptions!$C$24</f>
        <v>4</v>
      </c>
      <c r="H49" s="21" t="n">
        <f aca="false">Assumptions!$C$25</f>
        <v>7</v>
      </c>
      <c r="I49" s="52" t="n">
        <f aca="false">Assumptions!$C$26</f>
        <v>0.08</v>
      </c>
      <c r="J49" s="52" t="n">
        <f aca="false">Assumptions!$C$27</f>
        <v>0.04</v>
      </c>
      <c r="K49" s="45" t="n">
        <f aca="false">Assumptions!$C$28</f>
        <v>11000</v>
      </c>
      <c r="L49" s="52" t="n">
        <f aca="false">Assumptions!$F$15</f>
        <v>0.08</v>
      </c>
      <c r="M49" s="41" t="n">
        <f aca="false">Assumptions!$F$16</f>
        <v>24</v>
      </c>
      <c r="N49" s="45" t="n">
        <f aca="false">Assumptions!$F$17</f>
        <v>4000</v>
      </c>
      <c r="O49" s="45" t="n">
        <f aca="false">Assumptions!$C$29</f>
        <v>900</v>
      </c>
      <c r="P49" s="45" t="n">
        <f aca="false">Assumptions!$C$30</f>
        <v>36000</v>
      </c>
      <c r="Q49" s="37" t="n">
        <f aca="false">Assumptions!$C$31</f>
        <v>14</v>
      </c>
      <c r="R49" s="45" t="n">
        <f aca="false">Assumptions!$C$32</f>
        <v>24000</v>
      </c>
      <c r="S49" s="52" t="n">
        <f aca="false">Assumptions!$F$18</f>
        <v>0.02</v>
      </c>
      <c r="T49" s="21" t="n">
        <f aca="false">IF(Assumptions!$C$33="All except base pay",1,0)</f>
        <v>1</v>
      </c>
      <c r="U49" s="41" t="n">
        <f aca="false">SUM(Assumptions!$C$59:$C$70)*C49</f>
        <v>1332</v>
      </c>
      <c r="V49" s="41" t="n">
        <f aca="false">SUMPRODUCT(Assumptions!$C$59:$C$70*(Assumptions!$B$59:$B$70&gt;=G49))*C49</f>
        <v>1006.2</v>
      </c>
      <c r="W49" s="41" t="n">
        <f aca="false">SUMPRODUCT(Assumptions!$C$59:$C$70*(Assumptions!$B$59:$B$70&gt;=H49))*C49</f>
        <v>675</v>
      </c>
      <c r="X49" s="45" t="n">
        <f aca="false">B49/12*(U49+D49*F49*V49+E49*W49)</f>
        <v>9707320.875</v>
      </c>
      <c r="Y49" s="45" t="n">
        <f aca="false">X49*(1+I49+J49)+Assumptions!$C$50+K49*(1+L49)/12*U49</f>
        <v>12193780.98</v>
      </c>
      <c r="Z49" s="45" t="n">
        <f aca="false">M49*N49*Assumptions!$C$41+O49/12*U49+P49+Q49*U49+R49</f>
        <v>274548</v>
      </c>
      <c r="AA49" s="45" t="n">
        <f aca="false">Y49+Z49</f>
        <v>12468328.98</v>
      </c>
      <c r="AB49" s="45" t="n">
        <f aca="false">S49*(AA49-T49*X49)</f>
        <v>55220.1621</v>
      </c>
      <c r="AC49" s="29" t="n">
        <f aca="false">AA49+AB49</f>
        <v>12523549.1421</v>
      </c>
    </row>
    <row r="50" customFormat="false" ht="15" hidden="false" customHeight="false" outlineLevel="0" collapsed="false">
      <c r="A50" s="44" t="s">
        <v>326</v>
      </c>
      <c r="B50" s="45" t="n">
        <f aca="false">Assumptions!$C$22</f>
        <v>85000</v>
      </c>
      <c r="C50" s="54" t="n">
        <f aca="false">1+$C$4</f>
        <v>1.1</v>
      </c>
      <c r="D50" s="52" t="n">
        <f aca="false">Assumptions!$F$13</f>
        <v>0.035</v>
      </c>
      <c r="E50" s="52" t="n">
        <f aca="false">Assumptions!$F$14</f>
        <v>0.01</v>
      </c>
      <c r="F50" s="48" t="n">
        <f aca="false">Assumptions!$C$23</f>
        <v>0.9</v>
      </c>
      <c r="G50" s="21" t="n">
        <f aca="false">Assumptions!$C$24</f>
        <v>4</v>
      </c>
      <c r="H50" s="21" t="n">
        <f aca="false">Assumptions!$C$25</f>
        <v>7</v>
      </c>
      <c r="I50" s="52" t="n">
        <f aca="false">Assumptions!$C$26</f>
        <v>0.08</v>
      </c>
      <c r="J50" s="52" t="n">
        <f aca="false">Assumptions!$C$27</f>
        <v>0.04</v>
      </c>
      <c r="K50" s="45" t="n">
        <f aca="false">Assumptions!$C$28</f>
        <v>11000</v>
      </c>
      <c r="L50" s="52" t="n">
        <f aca="false">Assumptions!$F$15</f>
        <v>0.08</v>
      </c>
      <c r="M50" s="41" t="n">
        <f aca="false">Assumptions!$F$16</f>
        <v>24</v>
      </c>
      <c r="N50" s="45" t="n">
        <f aca="false">Assumptions!$F$17</f>
        <v>4000</v>
      </c>
      <c r="O50" s="45" t="n">
        <f aca="false">Assumptions!$C$29</f>
        <v>900</v>
      </c>
      <c r="P50" s="45" t="n">
        <f aca="false">Assumptions!$C$30</f>
        <v>36000</v>
      </c>
      <c r="Q50" s="37" t="n">
        <f aca="false">Assumptions!$C$31</f>
        <v>14</v>
      </c>
      <c r="R50" s="45" t="n">
        <f aca="false">Assumptions!$C$32</f>
        <v>24000</v>
      </c>
      <c r="S50" s="52" t="n">
        <f aca="false">Assumptions!$F$18</f>
        <v>0.02</v>
      </c>
      <c r="T50" s="21" t="n">
        <f aca="false">IF(Assumptions!$C$33="All except base pay",1,0)</f>
        <v>1</v>
      </c>
      <c r="U50" s="41" t="n">
        <f aca="false">SUM(Assumptions!$C$59:$C$70)*C50</f>
        <v>1628</v>
      </c>
      <c r="V50" s="41" t="n">
        <f aca="false">SUMPRODUCT(Assumptions!$C$59:$C$70*(Assumptions!$B$59:$B$70&gt;=G50))*C50</f>
        <v>1229.8</v>
      </c>
      <c r="W50" s="41" t="n">
        <f aca="false">SUMPRODUCT(Assumptions!$C$59:$C$70*(Assumptions!$B$59:$B$70&gt;=H50))*C50</f>
        <v>825</v>
      </c>
      <c r="X50" s="45" t="n">
        <f aca="false">B50/12*(U50+D50*F50*V50+E50*W50)</f>
        <v>11864503.2916667</v>
      </c>
      <c r="Y50" s="45" t="n">
        <f aca="false">X50*(1+I50+J50)+Assumptions!$C$50+K50*(1+L50)/12*U50</f>
        <v>14902865.2866667</v>
      </c>
      <c r="Z50" s="45" t="n">
        <f aca="false">M50*N50*Assumptions!$C$41+O50/12*U50+P50+Q50*U50+R50</f>
        <v>300892</v>
      </c>
      <c r="AA50" s="45" t="n">
        <f aca="false">Y50+Z50</f>
        <v>15203757.2866667</v>
      </c>
      <c r="AB50" s="45" t="n">
        <f aca="false">S50*(AA50-T50*X50)</f>
        <v>66785.0799</v>
      </c>
      <c r="AC50" s="29" t="n">
        <f aca="false">AA50+AB50</f>
        <v>15270542.3665667</v>
      </c>
    </row>
    <row r="51" customFormat="false" ht="15" hidden="false" customHeight="false" outlineLevel="0" collapsed="false">
      <c r="A51" s="44" t="s">
        <v>327</v>
      </c>
      <c r="B51" s="45" t="n">
        <f aca="false">Assumptions!$C$22</f>
        <v>85000</v>
      </c>
      <c r="C51" s="54" t="n">
        <f aca="false">1</f>
        <v>1</v>
      </c>
      <c r="D51" s="52" t="n">
        <f aca="false">$D$43*(1-$C$4)</f>
        <v>0.0315</v>
      </c>
      <c r="E51" s="52" t="n">
        <f aca="false">Assumptions!$F$14</f>
        <v>0.01</v>
      </c>
      <c r="F51" s="48" t="n">
        <f aca="false">Assumptions!$C$23</f>
        <v>0.9</v>
      </c>
      <c r="G51" s="21" t="n">
        <f aca="false">Assumptions!$C$24</f>
        <v>4</v>
      </c>
      <c r="H51" s="21" t="n">
        <f aca="false">Assumptions!$C$25</f>
        <v>7</v>
      </c>
      <c r="I51" s="52" t="n">
        <f aca="false">Assumptions!$C$26</f>
        <v>0.08</v>
      </c>
      <c r="J51" s="52" t="n">
        <f aca="false">Assumptions!$C$27</f>
        <v>0.04</v>
      </c>
      <c r="K51" s="45" t="n">
        <f aca="false">Assumptions!$C$28</f>
        <v>11000</v>
      </c>
      <c r="L51" s="52" t="n">
        <f aca="false">Assumptions!$F$15</f>
        <v>0.08</v>
      </c>
      <c r="M51" s="41" t="n">
        <f aca="false">Assumptions!$F$16</f>
        <v>24</v>
      </c>
      <c r="N51" s="45" t="n">
        <f aca="false">Assumptions!$F$17</f>
        <v>4000</v>
      </c>
      <c r="O51" s="45" t="n">
        <f aca="false">Assumptions!$C$29</f>
        <v>900</v>
      </c>
      <c r="P51" s="45" t="n">
        <f aca="false">Assumptions!$C$30</f>
        <v>36000</v>
      </c>
      <c r="Q51" s="37" t="n">
        <f aca="false">Assumptions!$C$31</f>
        <v>14</v>
      </c>
      <c r="R51" s="45" t="n">
        <f aca="false">Assumptions!$C$32</f>
        <v>24000</v>
      </c>
      <c r="S51" s="52" t="n">
        <f aca="false">Assumptions!$F$18</f>
        <v>0.02</v>
      </c>
      <c r="T51" s="21" t="n">
        <f aca="false">IF(Assumptions!$C$33="All except base pay",1,0)</f>
        <v>1</v>
      </c>
      <c r="U51" s="41" t="n">
        <f aca="false">SUM(Assumptions!$C$59:$C$70)*C51</f>
        <v>1480</v>
      </c>
      <c r="V51" s="41" t="n">
        <f aca="false">SUMPRODUCT(Assumptions!$C$59:$C$70*(Assumptions!$B$59:$B$70&gt;=G51))*C51</f>
        <v>1118</v>
      </c>
      <c r="W51" s="41" t="n">
        <f aca="false">SUMPRODUCT(Assumptions!$C$59:$C$70*(Assumptions!$B$59:$B$70&gt;=H51))*C51</f>
        <v>750</v>
      </c>
      <c r="X51" s="45" t="n">
        <f aca="false">B51/12*(U51+D51*F51*V51+E51*W51)</f>
        <v>10760966.7083333</v>
      </c>
      <c r="Y51" s="45" t="n">
        <f aca="false">X51*(1+I51+J51)+Assumptions!$C$50+K51*(1+L51)/12*U51</f>
        <v>13520384.3133333</v>
      </c>
      <c r="Z51" s="45" t="n">
        <f aca="false">M51*N51*Assumptions!$C$41+O51/12*U51+P51+Q51*U51+R51</f>
        <v>287720</v>
      </c>
      <c r="AA51" s="45" t="n">
        <f aca="false">Y51+Z51</f>
        <v>13808104.3133333</v>
      </c>
      <c r="AB51" s="45" t="n">
        <f aca="false">S51*(AA51-T51*X51)</f>
        <v>60942.7521</v>
      </c>
      <c r="AC51" s="29" t="n">
        <f aca="false">AA51+AB51</f>
        <v>13869047.0654333</v>
      </c>
    </row>
    <row r="52" customFormat="false" ht="15" hidden="false" customHeight="false" outlineLevel="0" collapsed="false">
      <c r="A52" s="44" t="s">
        <v>328</v>
      </c>
      <c r="B52" s="45" t="n">
        <f aca="false">Assumptions!$C$22</f>
        <v>85000</v>
      </c>
      <c r="C52" s="54" t="n">
        <f aca="false">1</f>
        <v>1</v>
      </c>
      <c r="D52" s="52" t="n">
        <f aca="false">$D$43*(1+$C$4)</f>
        <v>0.0385</v>
      </c>
      <c r="E52" s="52" t="n">
        <f aca="false">Assumptions!$F$14</f>
        <v>0.01</v>
      </c>
      <c r="F52" s="48" t="n">
        <f aca="false">Assumptions!$C$23</f>
        <v>0.9</v>
      </c>
      <c r="G52" s="21" t="n">
        <f aca="false">Assumptions!$C$24</f>
        <v>4</v>
      </c>
      <c r="H52" s="21" t="n">
        <f aca="false">Assumptions!$C$25</f>
        <v>7</v>
      </c>
      <c r="I52" s="52" t="n">
        <f aca="false">Assumptions!$C$26</f>
        <v>0.08</v>
      </c>
      <c r="J52" s="52" t="n">
        <f aca="false">Assumptions!$C$27</f>
        <v>0.04</v>
      </c>
      <c r="K52" s="45" t="n">
        <f aca="false">Assumptions!$C$28</f>
        <v>11000</v>
      </c>
      <c r="L52" s="52" t="n">
        <f aca="false">Assumptions!$F$15</f>
        <v>0.08</v>
      </c>
      <c r="M52" s="41" t="n">
        <f aca="false">Assumptions!$F$16</f>
        <v>24</v>
      </c>
      <c r="N52" s="45" t="n">
        <f aca="false">Assumptions!$F$17</f>
        <v>4000</v>
      </c>
      <c r="O52" s="45" t="n">
        <f aca="false">Assumptions!$C$29</f>
        <v>900</v>
      </c>
      <c r="P52" s="45" t="n">
        <f aca="false">Assumptions!$C$30</f>
        <v>36000</v>
      </c>
      <c r="Q52" s="37" t="n">
        <f aca="false">Assumptions!$C$31</f>
        <v>14</v>
      </c>
      <c r="R52" s="45" t="n">
        <f aca="false">Assumptions!$C$32</f>
        <v>24000</v>
      </c>
      <c r="S52" s="52" t="n">
        <f aca="false">Assumptions!$F$18</f>
        <v>0.02</v>
      </c>
      <c r="T52" s="21" t="n">
        <f aca="false">IF(Assumptions!$C$33="All except base pay",1,0)</f>
        <v>1</v>
      </c>
      <c r="U52" s="41" t="n">
        <f aca="false">SUM(Assumptions!$C$59:$C$70)*C52</f>
        <v>1480</v>
      </c>
      <c r="V52" s="41" t="n">
        <f aca="false">SUMPRODUCT(Assumptions!$C$59:$C$70*(Assumptions!$B$59:$B$70&gt;=G52))*C52</f>
        <v>1118</v>
      </c>
      <c r="W52" s="41" t="n">
        <f aca="false">SUMPRODUCT(Assumptions!$C$59:$C$70*(Assumptions!$B$59:$B$70&gt;=H52))*C52</f>
        <v>750</v>
      </c>
      <c r="X52" s="45" t="n">
        <f aca="false">B52/12*(U52+D52*F52*V52+E52*W52)</f>
        <v>10810857.4583333</v>
      </c>
      <c r="Y52" s="45" t="n">
        <f aca="false">X52*(1+I52+J52)+Assumptions!$C$50+K52*(1+L52)/12*U52</f>
        <v>13576261.9533333</v>
      </c>
      <c r="Z52" s="45" t="n">
        <f aca="false">M52*N52*Assumptions!$C$41+O52/12*U52+P52+Q52*U52+R52</f>
        <v>287720</v>
      </c>
      <c r="AA52" s="45" t="n">
        <f aca="false">Y52+Z52</f>
        <v>13863981.9533333</v>
      </c>
      <c r="AB52" s="45" t="n">
        <f aca="false">S52*(AA52-T52*X52)</f>
        <v>61062.4899</v>
      </c>
      <c r="AC52" s="29" t="n">
        <f aca="false">AA52+AB52</f>
        <v>13925044.4432333</v>
      </c>
    </row>
    <row r="53" customFormat="false" ht="15" hidden="false" customHeight="false" outlineLevel="0" collapsed="false">
      <c r="A53" s="44" t="s">
        <v>329</v>
      </c>
      <c r="B53" s="45" t="n">
        <f aca="false">Assumptions!$C$22</f>
        <v>85000</v>
      </c>
      <c r="C53" s="54" t="n">
        <f aca="false">1</f>
        <v>1</v>
      </c>
      <c r="D53" s="52" t="n">
        <f aca="false">Assumptions!$F$13</f>
        <v>0.035</v>
      </c>
      <c r="E53" s="52" t="n">
        <f aca="false">$E$43*(1-$C$4)</f>
        <v>0.009</v>
      </c>
      <c r="F53" s="48" t="n">
        <f aca="false">Assumptions!$C$23</f>
        <v>0.9</v>
      </c>
      <c r="G53" s="21" t="n">
        <f aca="false">Assumptions!$C$24</f>
        <v>4</v>
      </c>
      <c r="H53" s="21" t="n">
        <f aca="false">Assumptions!$C$25</f>
        <v>7</v>
      </c>
      <c r="I53" s="52" t="n">
        <f aca="false">Assumptions!$C$26</f>
        <v>0.08</v>
      </c>
      <c r="J53" s="52" t="n">
        <f aca="false">Assumptions!$C$27</f>
        <v>0.04</v>
      </c>
      <c r="K53" s="45" t="n">
        <f aca="false">Assumptions!$C$28</f>
        <v>11000</v>
      </c>
      <c r="L53" s="52" t="n">
        <f aca="false">Assumptions!$F$15</f>
        <v>0.08</v>
      </c>
      <c r="M53" s="41" t="n">
        <f aca="false">Assumptions!$F$16</f>
        <v>24</v>
      </c>
      <c r="N53" s="45" t="n">
        <f aca="false">Assumptions!$F$17</f>
        <v>4000</v>
      </c>
      <c r="O53" s="45" t="n">
        <f aca="false">Assumptions!$C$29</f>
        <v>900</v>
      </c>
      <c r="P53" s="45" t="n">
        <f aca="false">Assumptions!$C$30</f>
        <v>36000</v>
      </c>
      <c r="Q53" s="37" t="n">
        <f aca="false">Assumptions!$C$31</f>
        <v>14</v>
      </c>
      <c r="R53" s="45" t="n">
        <f aca="false">Assumptions!$C$32</f>
        <v>24000</v>
      </c>
      <c r="S53" s="52" t="n">
        <f aca="false">Assumptions!$F$18</f>
        <v>0.02</v>
      </c>
      <c r="T53" s="21" t="n">
        <f aca="false">IF(Assumptions!$C$33="All except base pay",1,0)</f>
        <v>1</v>
      </c>
      <c r="U53" s="41" t="n">
        <f aca="false">SUM(Assumptions!$C$59:$C$70)*C53</f>
        <v>1480</v>
      </c>
      <c r="V53" s="41" t="n">
        <f aca="false">SUMPRODUCT(Assumptions!$C$59:$C$70*(Assumptions!$B$59:$B$70&gt;=G53))*C53</f>
        <v>1118</v>
      </c>
      <c r="W53" s="41" t="n">
        <f aca="false">SUMPRODUCT(Assumptions!$C$59:$C$70*(Assumptions!$B$59:$B$70&gt;=H53))*C53</f>
        <v>750</v>
      </c>
      <c r="X53" s="45" t="n">
        <f aca="false">B53/12*(U53+D53*F53*V53+E53*W53)</f>
        <v>10780599.5833333</v>
      </c>
      <c r="Y53" s="45" t="n">
        <f aca="false">X53*(1+I53+J53)+Assumptions!$C$50+K53*(1+L53)/12*U53</f>
        <v>13542373.1333333</v>
      </c>
      <c r="Z53" s="45" t="n">
        <f aca="false">M53*N53*Assumptions!$C$41+O53/12*U53+P53+Q53*U53+R53</f>
        <v>287720</v>
      </c>
      <c r="AA53" s="45" t="n">
        <f aca="false">Y53+Z53</f>
        <v>13830093.1333333</v>
      </c>
      <c r="AB53" s="45" t="n">
        <f aca="false">S53*(AA53-T53*X53)</f>
        <v>60989.871</v>
      </c>
      <c r="AC53" s="29" t="n">
        <f aca="false">AA53+AB53</f>
        <v>13891083.0043333</v>
      </c>
    </row>
    <row r="54" customFormat="false" ht="15" hidden="false" customHeight="false" outlineLevel="0" collapsed="false">
      <c r="A54" s="44" t="s">
        <v>330</v>
      </c>
      <c r="B54" s="45" t="n">
        <f aca="false">Assumptions!$C$22</f>
        <v>85000</v>
      </c>
      <c r="C54" s="54" t="n">
        <f aca="false">1</f>
        <v>1</v>
      </c>
      <c r="D54" s="52" t="n">
        <f aca="false">Assumptions!$F$13</f>
        <v>0.035</v>
      </c>
      <c r="E54" s="52" t="n">
        <f aca="false">$E$43*(1+$C$4)</f>
        <v>0.011</v>
      </c>
      <c r="F54" s="48" t="n">
        <f aca="false">Assumptions!$C$23</f>
        <v>0.9</v>
      </c>
      <c r="G54" s="21" t="n">
        <f aca="false">Assumptions!$C$24</f>
        <v>4</v>
      </c>
      <c r="H54" s="21" t="n">
        <f aca="false">Assumptions!$C$25</f>
        <v>7</v>
      </c>
      <c r="I54" s="52" t="n">
        <f aca="false">Assumptions!$C$26</f>
        <v>0.08</v>
      </c>
      <c r="J54" s="52" t="n">
        <f aca="false">Assumptions!$C$27</f>
        <v>0.04</v>
      </c>
      <c r="K54" s="45" t="n">
        <f aca="false">Assumptions!$C$28</f>
        <v>11000</v>
      </c>
      <c r="L54" s="52" t="n">
        <f aca="false">Assumptions!$F$15</f>
        <v>0.08</v>
      </c>
      <c r="M54" s="41" t="n">
        <f aca="false">Assumptions!$F$16</f>
        <v>24</v>
      </c>
      <c r="N54" s="45" t="n">
        <f aca="false">Assumptions!$F$17</f>
        <v>4000</v>
      </c>
      <c r="O54" s="45" t="n">
        <f aca="false">Assumptions!$C$29</f>
        <v>900</v>
      </c>
      <c r="P54" s="45" t="n">
        <f aca="false">Assumptions!$C$30</f>
        <v>36000</v>
      </c>
      <c r="Q54" s="37" t="n">
        <f aca="false">Assumptions!$C$31</f>
        <v>14</v>
      </c>
      <c r="R54" s="45" t="n">
        <f aca="false">Assumptions!$C$32</f>
        <v>24000</v>
      </c>
      <c r="S54" s="52" t="n">
        <f aca="false">Assumptions!$F$18</f>
        <v>0.02</v>
      </c>
      <c r="T54" s="21" t="n">
        <f aca="false">IF(Assumptions!$C$33="All except base pay",1,0)</f>
        <v>1</v>
      </c>
      <c r="U54" s="41" t="n">
        <f aca="false">SUM(Assumptions!$C$59:$C$70)*C54</f>
        <v>1480</v>
      </c>
      <c r="V54" s="41" t="n">
        <f aca="false">SUMPRODUCT(Assumptions!$C$59:$C$70*(Assumptions!$B$59:$B$70&gt;=G54))*C54</f>
        <v>1118</v>
      </c>
      <c r="W54" s="41" t="n">
        <f aca="false">SUMPRODUCT(Assumptions!$C$59:$C$70*(Assumptions!$B$59:$B$70&gt;=H54))*C54</f>
        <v>750</v>
      </c>
      <c r="X54" s="45" t="n">
        <f aca="false">B54/12*(U54+D54*F54*V54+E54*W54)</f>
        <v>10791224.5833333</v>
      </c>
      <c r="Y54" s="45" t="n">
        <f aca="false">X54*(1+I54+J54)+Assumptions!$C$50+K54*(1+L54)/12*U54</f>
        <v>13554273.1333333</v>
      </c>
      <c r="Z54" s="45" t="n">
        <f aca="false">M54*N54*Assumptions!$C$41+O54/12*U54+P54+Q54*U54+R54</f>
        <v>287720</v>
      </c>
      <c r="AA54" s="45" t="n">
        <f aca="false">Y54+Z54</f>
        <v>13841993.1333333</v>
      </c>
      <c r="AB54" s="45" t="n">
        <f aca="false">S54*(AA54-T54*X54)</f>
        <v>61015.371</v>
      </c>
      <c r="AC54" s="29" t="n">
        <f aca="false">AA54+AB54</f>
        <v>13903008.5043333</v>
      </c>
    </row>
    <row r="55" customFormat="false" ht="15" hidden="false" customHeight="false" outlineLevel="0" collapsed="false">
      <c r="A55" s="44" t="s">
        <v>331</v>
      </c>
      <c r="B55" s="45" t="n">
        <f aca="false">Assumptions!$C$22</f>
        <v>85000</v>
      </c>
      <c r="C55" s="54" t="n">
        <f aca="false">1</f>
        <v>1</v>
      </c>
      <c r="D55" s="52" t="n">
        <f aca="false">Assumptions!$F$13</f>
        <v>0.035</v>
      </c>
      <c r="E55" s="52" t="n">
        <f aca="false">Assumptions!$F$14</f>
        <v>0.01</v>
      </c>
      <c r="F55" s="48" t="n">
        <f aca="false">Assumptions!$C$23</f>
        <v>0.9</v>
      </c>
      <c r="G55" s="21" t="n">
        <f aca="false">Assumptions!$C$24</f>
        <v>4</v>
      </c>
      <c r="H55" s="21" t="n">
        <f aca="false">Assumptions!$C$25</f>
        <v>7</v>
      </c>
      <c r="I55" s="52" t="n">
        <f aca="false">$I$43*(1-$C$4)</f>
        <v>0.072</v>
      </c>
      <c r="J55" s="52" t="n">
        <f aca="false">Assumptions!$C$27</f>
        <v>0.04</v>
      </c>
      <c r="K55" s="45" t="n">
        <f aca="false">Assumptions!$C$28</f>
        <v>11000</v>
      </c>
      <c r="L55" s="52" t="n">
        <f aca="false">Assumptions!$F$15</f>
        <v>0.08</v>
      </c>
      <c r="M55" s="41" t="n">
        <f aca="false">Assumptions!$F$16</f>
        <v>24</v>
      </c>
      <c r="N55" s="45" t="n">
        <f aca="false">Assumptions!$F$17</f>
        <v>4000</v>
      </c>
      <c r="O55" s="45" t="n">
        <f aca="false">Assumptions!$C$29</f>
        <v>900</v>
      </c>
      <c r="P55" s="45" t="n">
        <f aca="false">Assumptions!$C$30</f>
        <v>36000</v>
      </c>
      <c r="Q55" s="37" t="n">
        <f aca="false">Assumptions!$C$31</f>
        <v>14</v>
      </c>
      <c r="R55" s="45" t="n">
        <f aca="false">Assumptions!$C$32</f>
        <v>24000</v>
      </c>
      <c r="S55" s="52" t="n">
        <f aca="false">Assumptions!$F$18</f>
        <v>0.02</v>
      </c>
      <c r="T55" s="21" t="n">
        <f aca="false">IF(Assumptions!$C$33="All except base pay",1,0)</f>
        <v>1</v>
      </c>
      <c r="U55" s="41" t="n">
        <f aca="false">SUM(Assumptions!$C$59:$C$70)*C55</f>
        <v>1480</v>
      </c>
      <c r="V55" s="41" t="n">
        <f aca="false">SUMPRODUCT(Assumptions!$C$59:$C$70*(Assumptions!$B$59:$B$70&gt;=G55))*C55</f>
        <v>1118</v>
      </c>
      <c r="W55" s="41" t="n">
        <f aca="false">SUMPRODUCT(Assumptions!$C$59:$C$70*(Assumptions!$B$59:$B$70&gt;=H55))*C55</f>
        <v>750</v>
      </c>
      <c r="X55" s="45" t="n">
        <f aca="false">B55/12*(U55+D55*F55*V55+E55*W55)</f>
        <v>10785912.0833333</v>
      </c>
      <c r="Y55" s="45" t="n">
        <f aca="false">X55*(1+I55+J55)+Assumptions!$C$50+K55*(1+L55)/12*U55</f>
        <v>13462035.8366667</v>
      </c>
      <c r="Z55" s="45" t="n">
        <f aca="false">M55*N55*Assumptions!$C$41+O55/12*U55+P55+Q55*U55+R55</f>
        <v>287720</v>
      </c>
      <c r="AA55" s="45" t="n">
        <f aca="false">Y55+Z55</f>
        <v>13749755.8366667</v>
      </c>
      <c r="AB55" s="45" t="n">
        <f aca="false">S55*(AA55-T55*X55)</f>
        <v>59276.8750666667</v>
      </c>
      <c r="AC55" s="29" t="n">
        <f aca="false">AA55+AB55</f>
        <v>13809032.7117333</v>
      </c>
    </row>
    <row r="56" customFormat="false" ht="15" hidden="false" customHeight="false" outlineLevel="0" collapsed="false">
      <c r="A56" s="44" t="s">
        <v>332</v>
      </c>
      <c r="B56" s="45" t="n">
        <f aca="false">Assumptions!$C$22</f>
        <v>85000</v>
      </c>
      <c r="C56" s="54" t="n">
        <f aca="false">1</f>
        <v>1</v>
      </c>
      <c r="D56" s="52" t="n">
        <f aca="false">Assumptions!$F$13</f>
        <v>0.035</v>
      </c>
      <c r="E56" s="52" t="n">
        <f aca="false">Assumptions!$F$14</f>
        <v>0.01</v>
      </c>
      <c r="F56" s="48" t="n">
        <f aca="false">Assumptions!$C$23</f>
        <v>0.9</v>
      </c>
      <c r="G56" s="21" t="n">
        <f aca="false">Assumptions!$C$24</f>
        <v>4</v>
      </c>
      <c r="H56" s="21" t="n">
        <f aca="false">Assumptions!$C$25</f>
        <v>7</v>
      </c>
      <c r="I56" s="52" t="n">
        <f aca="false">$I$43*(1+$C$4)</f>
        <v>0.088</v>
      </c>
      <c r="J56" s="52" t="n">
        <f aca="false">Assumptions!$C$27</f>
        <v>0.04</v>
      </c>
      <c r="K56" s="45" t="n">
        <f aca="false">Assumptions!$C$28</f>
        <v>11000</v>
      </c>
      <c r="L56" s="52" t="n">
        <f aca="false">Assumptions!$F$15</f>
        <v>0.08</v>
      </c>
      <c r="M56" s="41" t="n">
        <f aca="false">Assumptions!$F$16</f>
        <v>24</v>
      </c>
      <c r="N56" s="45" t="n">
        <f aca="false">Assumptions!$F$17</f>
        <v>4000</v>
      </c>
      <c r="O56" s="45" t="n">
        <f aca="false">Assumptions!$C$29</f>
        <v>900</v>
      </c>
      <c r="P56" s="45" t="n">
        <f aca="false">Assumptions!$C$30</f>
        <v>36000</v>
      </c>
      <c r="Q56" s="37" t="n">
        <f aca="false">Assumptions!$C$31</f>
        <v>14</v>
      </c>
      <c r="R56" s="45" t="n">
        <f aca="false">Assumptions!$C$32</f>
        <v>24000</v>
      </c>
      <c r="S56" s="52" t="n">
        <f aca="false">Assumptions!$F$18</f>
        <v>0.02</v>
      </c>
      <c r="T56" s="21" t="n">
        <f aca="false">IF(Assumptions!$C$33="All except base pay",1,0)</f>
        <v>1</v>
      </c>
      <c r="U56" s="41" t="n">
        <f aca="false">SUM(Assumptions!$C$59:$C$70)*C56</f>
        <v>1480</v>
      </c>
      <c r="V56" s="41" t="n">
        <f aca="false">SUMPRODUCT(Assumptions!$C$59:$C$70*(Assumptions!$B$59:$B$70&gt;=G56))*C56</f>
        <v>1118</v>
      </c>
      <c r="W56" s="41" t="n">
        <f aca="false">SUMPRODUCT(Assumptions!$C$59:$C$70*(Assumptions!$B$59:$B$70&gt;=H56))*C56</f>
        <v>750</v>
      </c>
      <c r="X56" s="45" t="n">
        <f aca="false">B56/12*(U56+D56*F56*V56+E56*W56)</f>
        <v>10785912.0833333</v>
      </c>
      <c r="Y56" s="45" t="n">
        <f aca="false">X56*(1+I56+J56)+Assumptions!$C$50+K56*(1+L56)/12*U56</f>
        <v>13634610.43</v>
      </c>
      <c r="Z56" s="45" t="n">
        <f aca="false">M56*N56*Assumptions!$C$41+O56/12*U56+P56+Q56*U56+R56</f>
        <v>287720</v>
      </c>
      <c r="AA56" s="45" t="n">
        <f aca="false">Y56+Z56</f>
        <v>13922330.43</v>
      </c>
      <c r="AB56" s="45" t="n">
        <f aca="false">S56*(AA56-T56*X56)</f>
        <v>62728.3669333334</v>
      </c>
      <c r="AC56" s="29" t="n">
        <f aca="false">AA56+AB56</f>
        <v>13985058.7969333</v>
      </c>
    </row>
    <row r="57" customFormat="false" ht="15" hidden="false" customHeight="false" outlineLevel="0" collapsed="false">
      <c r="A57" s="44" t="s">
        <v>333</v>
      </c>
      <c r="B57" s="45" t="n">
        <f aca="false">Assumptions!$C$22</f>
        <v>85000</v>
      </c>
      <c r="C57" s="54" t="n">
        <f aca="false">1</f>
        <v>1</v>
      </c>
      <c r="D57" s="52" t="n">
        <f aca="false">Assumptions!$F$13</f>
        <v>0.035</v>
      </c>
      <c r="E57" s="52" t="n">
        <f aca="false">Assumptions!$F$14</f>
        <v>0.01</v>
      </c>
      <c r="F57" s="48" t="n">
        <f aca="false">Assumptions!$C$23</f>
        <v>0.9</v>
      </c>
      <c r="G57" s="21" t="n">
        <f aca="false">Assumptions!$C$24</f>
        <v>4</v>
      </c>
      <c r="H57" s="21" t="n">
        <f aca="false">Assumptions!$C$25</f>
        <v>7</v>
      </c>
      <c r="I57" s="52" t="n">
        <f aca="false">Assumptions!$C$26</f>
        <v>0.08</v>
      </c>
      <c r="J57" s="52" t="n">
        <f aca="false">$J$43*(1-$C$4)</f>
        <v>0.036</v>
      </c>
      <c r="K57" s="45" t="n">
        <f aca="false">Assumptions!$C$28</f>
        <v>11000</v>
      </c>
      <c r="L57" s="52" t="n">
        <f aca="false">Assumptions!$F$15</f>
        <v>0.08</v>
      </c>
      <c r="M57" s="41" t="n">
        <f aca="false">Assumptions!$F$16</f>
        <v>24</v>
      </c>
      <c r="N57" s="45" t="n">
        <f aca="false">Assumptions!$F$17</f>
        <v>4000</v>
      </c>
      <c r="O57" s="45" t="n">
        <f aca="false">Assumptions!$C$29</f>
        <v>900</v>
      </c>
      <c r="P57" s="45" t="n">
        <f aca="false">Assumptions!$C$30</f>
        <v>36000</v>
      </c>
      <c r="Q57" s="37" t="n">
        <f aca="false">Assumptions!$C$31</f>
        <v>14</v>
      </c>
      <c r="R57" s="45" t="n">
        <f aca="false">Assumptions!$C$32</f>
        <v>24000</v>
      </c>
      <c r="S57" s="52" t="n">
        <f aca="false">Assumptions!$F$18</f>
        <v>0.02</v>
      </c>
      <c r="T57" s="21" t="n">
        <f aca="false">IF(Assumptions!$C$33="All except base pay",1,0)</f>
        <v>1</v>
      </c>
      <c r="U57" s="41" t="n">
        <f aca="false">SUM(Assumptions!$C$59:$C$70)*C57</f>
        <v>1480</v>
      </c>
      <c r="V57" s="41" t="n">
        <f aca="false">SUMPRODUCT(Assumptions!$C$59:$C$70*(Assumptions!$B$59:$B$70&gt;=G57))*C57</f>
        <v>1118</v>
      </c>
      <c r="W57" s="41" t="n">
        <f aca="false">SUMPRODUCT(Assumptions!$C$59:$C$70*(Assumptions!$B$59:$B$70&gt;=H57))*C57</f>
        <v>750</v>
      </c>
      <c r="X57" s="45" t="n">
        <f aca="false">B57/12*(U57+D57*F57*V57+E57*W57)</f>
        <v>10785912.0833333</v>
      </c>
      <c r="Y57" s="45" t="n">
        <f aca="false">X57*(1+I57+J57)+Assumptions!$C$50+K57*(1+L57)/12*U57</f>
        <v>13505179.485</v>
      </c>
      <c r="Z57" s="45" t="n">
        <f aca="false">M57*N57*Assumptions!$C$41+O57/12*U57+P57+Q57*U57+R57</f>
        <v>287720</v>
      </c>
      <c r="AA57" s="45" t="n">
        <f aca="false">Y57+Z57</f>
        <v>13792899.485</v>
      </c>
      <c r="AB57" s="45" t="n">
        <f aca="false">S57*(AA57-T57*X57)</f>
        <v>60139.7480333333</v>
      </c>
      <c r="AC57" s="29" t="n">
        <f aca="false">AA57+AB57</f>
        <v>13853039.2330333</v>
      </c>
    </row>
    <row r="58" customFormat="false" ht="15" hidden="false" customHeight="false" outlineLevel="0" collapsed="false">
      <c r="A58" s="44" t="s">
        <v>334</v>
      </c>
      <c r="B58" s="45" t="n">
        <f aca="false">Assumptions!$C$22</f>
        <v>85000</v>
      </c>
      <c r="C58" s="54" t="n">
        <f aca="false">1</f>
        <v>1</v>
      </c>
      <c r="D58" s="52" t="n">
        <f aca="false">Assumptions!$F$13</f>
        <v>0.035</v>
      </c>
      <c r="E58" s="52" t="n">
        <f aca="false">Assumptions!$F$14</f>
        <v>0.01</v>
      </c>
      <c r="F58" s="48" t="n">
        <f aca="false">Assumptions!$C$23</f>
        <v>0.9</v>
      </c>
      <c r="G58" s="21" t="n">
        <f aca="false">Assumptions!$C$24</f>
        <v>4</v>
      </c>
      <c r="H58" s="21" t="n">
        <f aca="false">Assumptions!$C$25</f>
        <v>7</v>
      </c>
      <c r="I58" s="52" t="n">
        <f aca="false">Assumptions!$C$26</f>
        <v>0.08</v>
      </c>
      <c r="J58" s="52" t="n">
        <f aca="false">$J$43*(1+$C$4)</f>
        <v>0.044</v>
      </c>
      <c r="K58" s="45" t="n">
        <f aca="false">Assumptions!$C$28</f>
        <v>11000</v>
      </c>
      <c r="L58" s="52" t="n">
        <f aca="false">Assumptions!$F$15</f>
        <v>0.08</v>
      </c>
      <c r="M58" s="41" t="n">
        <f aca="false">Assumptions!$F$16</f>
        <v>24</v>
      </c>
      <c r="N58" s="45" t="n">
        <f aca="false">Assumptions!$F$17</f>
        <v>4000</v>
      </c>
      <c r="O58" s="45" t="n">
        <f aca="false">Assumptions!$C$29</f>
        <v>900</v>
      </c>
      <c r="P58" s="45" t="n">
        <f aca="false">Assumptions!$C$30</f>
        <v>36000</v>
      </c>
      <c r="Q58" s="37" t="n">
        <f aca="false">Assumptions!$C$31</f>
        <v>14</v>
      </c>
      <c r="R58" s="45" t="n">
        <f aca="false">Assumptions!$C$32</f>
        <v>24000</v>
      </c>
      <c r="S58" s="52" t="n">
        <f aca="false">Assumptions!$F$18</f>
        <v>0.02</v>
      </c>
      <c r="T58" s="21" t="n">
        <f aca="false">IF(Assumptions!$C$33="All except base pay",1,0)</f>
        <v>1</v>
      </c>
      <c r="U58" s="41" t="n">
        <f aca="false">SUM(Assumptions!$C$59:$C$70)*C58</f>
        <v>1480</v>
      </c>
      <c r="V58" s="41" t="n">
        <f aca="false">SUMPRODUCT(Assumptions!$C$59:$C$70*(Assumptions!$B$59:$B$70&gt;=G58))*C58</f>
        <v>1118</v>
      </c>
      <c r="W58" s="41" t="n">
        <f aca="false">SUMPRODUCT(Assumptions!$C$59:$C$70*(Assumptions!$B$59:$B$70&gt;=H58))*C58</f>
        <v>750</v>
      </c>
      <c r="X58" s="45" t="n">
        <f aca="false">B58/12*(U58+D58*F58*V58+E58*W58)</f>
        <v>10785912.0833333</v>
      </c>
      <c r="Y58" s="45" t="n">
        <f aca="false">X58*(1+I58+J58)+Assumptions!$C$50+K58*(1+L58)/12*U58</f>
        <v>13591466.7816667</v>
      </c>
      <c r="Z58" s="45" t="n">
        <f aca="false">M58*N58*Assumptions!$C$41+O58/12*U58+P58+Q58*U58+R58</f>
        <v>287720</v>
      </c>
      <c r="AA58" s="45" t="n">
        <f aca="false">Y58+Z58</f>
        <v>13879186.7816667</v>
      </c>
      <c r="AB58" s="45" t="n">
        <f aca="false">S58*(AA58-T58*X58)</f>
        <v>61865.4939666667</v>
      </c>
      <c r="AC58" s="29" t="n">
        <f aca="false">AA58+AB58</f>
        <v>13941052.2756333</v>
      </c>
    </row>
    <row r="59" customFormat="false" ht="15" hidden="false" customHeight="false" outlineLevel="0" collapsed="false">
      <c r="A59" s="44" t="s">
        <v>335</v>
      </c>
      <c r="B59" s="45" t="n">
        <f aca="false">Assumptions!$C$22</f>
        <v>85000</v>
      </c>
      <c r="C59" s="54" t="n">
        <f aca="false">1</f>
        <v>1</v>
      </c>
      <c r="D59" s="52" t="n">
        <f aca="false">Assumptions!$F$13</f>
        <v>0.035</v>
      </c>
      <c r="E59" s="52" t="n">
        <f aca="false">Assumptions!$F$14</f>
        <v>0.01</v>
      </c>
      <c r="F59" s="48" t="n">
        <f aca="false">Assumptions!$C$23</f>
        <v>0.9</v>
      </c>
      <c r="G59" s="21" t="n">
        <f aca="false">Assumptions!$C$24</f>
        <v>4</v>
      </c>
      <c r="H59" s="21" t="n">
        <f aca="false">Assumptions!$C$25</f>
        <v>7</v>
      </c>
      <c r="I59" s="52" t="n">
        <f aca="false">Assumptions!$C$26</f>
        <v>0.08</v>
      </c>
      <c r="J59" s="52" t="n">
        <f aca="false">Assumptions!$C$27</f>
        <v>0.04</v>
      </c>
      <c r="K59" s="45" t="n">
        <f aca="false">$K$43*(1-$C$4)</f>
        <v>9900</v>
      </c>
      <c r="L59" s="52" t="n">
        <f aca="false">Assumptions!$F$15</f>
        <v>0.08</v>
      </c>
      <c r="M59" s="41" t="n">
        <f aca="false">Assumptions!$F$16</f>
        <v>24</v>
      </c>
      <c r="N59" s="45" t="n">
        <f aca="false">Assumptions!$F$17</f>
        <v>4000</v>
      </c>
      <c r="O59" s="45" t="n">
        <f aca="false">Assumptions!$C$29</f>
        <v>900</v>
      </c>
      <c r="P59" s="45" t="n">
        <f aca="false">Assumptions!$C$30</f>
        <v>36000</v>
      </c>
      <c r="Q59" s="37" t="n">
        <f aca="false">Assumptions!$C$31</f>
        <v>14</v>
      </c>
      <c r="R59" s="45" t="n">
        <f aca="false">Assumptions!$C$32</f>
        <v>24000</v>
      </c>
      <c r="S59" s="52" t="n">
        <f aca="false">Assumptions!$F$18</f>
        <v>0.02</v>
      </c>
      <c r="T59" s="21" t="n">
        <f aca="false">IF(Assumptions!$C$33="All except base pay",1,0)</f>
        <v>1</v>
      </c>
      <c r="U59" s="41" t="n">
        <f aca="false">SUM(Assumptions!$C$59:$C$70)*C59</f>
        <v>1480</v>
      </c>
      <c r="V59" s="41" t="n">
        <f aca="false">SUMPRODUCT(Assumptions!$C$59:$C$70*(Assumptions!$B$59:$B$70&gt;=G59))*C59</f>
        <v>1118</v>
      </c>
      <c r="W59" s="41" t="n">
        <f aca="false">SUMPRODUCT(Assumptions!$C$59:$C$70*(Assumptions!$B$59:$B$70&gt;=H59))*C59</f>
        <v>750</v>
      </c>
      <c r="X59" s="45" t="n">
        <f aca="false">B59/12*(U59+D59*F59*V59+E59*W59)</f>
        <v>10785912.0833333</v>
      </c>
      <c r="Y59" s="45" t="n">
        <f aca="false">X59*(1+I59+J59)+Assumptions!$C$50+K59*(1+L59)/12*U59</f>
        <v>13401803.1333333</v>
      </c>
      <c r="Z59" s="45" t="n">
        <f aca="false">M59*N59*Assumptions!$C$41+O59/12*U59+P59+Q59*U59+R59</f>
        <v>287720</v>
      </c>
      <c r="AA59" s="45" t="n">
        <f aca="false">Y59+Z59</f>
        <v>13689523.1333333</v>
      </c>
      <c r="AB59" s="45" t="n">
        <f aca="false">S59*(AA59-T59*X59)</f>
        <v>58072.221</v>
      </c>
      <c r="AC59" s="29" t="n">
        <f aca="false">AA59+AB59</f>
        <v>13747595.3543333</v>
      </c>
    </row>
    <row r="60" customFormat="false" ht="15" hidden="false" customHeight="false" outlineLevel="0" collapsed="false">
      <c r="A60" s="44" t="s">
        <v>336</v>
      </c>
      <c r="B60" s="45" t="n">
        <f aca="false">Assumptions!$C$22</f>
        <v>85000</v>
      </c>
      <c r="C60" s="54" t="n">
        <f aca="false">1</f>
        <v>1</v>
      </c>
      <c r="D60" s="52" t="n">
        <f aca="false">Assumptions!$F$13</f>
        <v>0.035</v>
      </c>
      <c r="E60" s="52" t="n">
        <f aca="false">Assumptions!$F$14</f>
        <v>0.01</v>
      </c>
      <c r="F60" s="48" t="n">
        <f aca="false">Assumptions!$C$23</f>
        <v>0.9</v>
      </c>
      <c r="G60" s="21" t="n">
        <f aca="false">Assumptions!$C$24</f>
        <v>4</v>
      </c>
      <c r="H60" s="21" t="n">
        <f aca="false">Assumptions!$C$25</f>
        <v>7</v>
      </c>
      <c r="I60" s="52" t="n">
        <f aca="false">Assumptions!$C$26</f>
        <v>0.08</v>
      </c>
      <c r="J60" s="52" t="n">
        <f aca="false">Assumptions!$C$27</f>
        <v>0.04</v>
      </c>
      <c r="K60" s="45" t="n">
        <f aca="false">$K$43*(1+$C$4)</f>
        <v>12100</v>
      </c>
      <c r="L60" s="52" t="n">
        <f aca="false">Assumptions!$F$15</f>
        <v>0.08</v>
      </c>
      <c r="M60" s="41" t="n">
        <f aca="false">Assumptions!$F$16</f>
        <v>24</v>
      </c>
      <c r="N60" s="45" t="n">
        <f aca="false">Assumptions!$F$17</f>
        <v>4000</v>
      </c>
      <c r="O60" s="45" t="n">
        <f aca="false">Assumptions!$C$29</f>
        <v>900</v>
      </c>
      <c r="P60" s="45" t="n">
        <f aca="false">Assumptions!$C$30</f>
        <v>36000</v>
      </c>
      <c r="Q60" s="37" t="n">
        <f aca="false">Assumptions!$C$31</f>
        <v>14</v>
      </c>
      <c r="R60" s="45" t="n">
        <f aca="false">Assumptions!$C$32</f>
        <v>24000</v>
      </c>
      <c r="S60" s="52" t="n">
        <f aca="false">Assumptions!$F$18</f>
        <v>0.02</v>
      </c>
      <c r="T60" s="21" t="n">
        <f aca="false">IF(Assumptions!$C$33="All except base pay",1,0)</f>
        <v>1</v>
      </c>
      <c r="U60" s="41" t="n">
        <f aca="false">SUM(Assumptions!$C$59:$C$70)*C60</f>
        <v>1480</v>
      </c>
      <c r="V60" s="41" t="n">
        <f aca="false">SUMPRODUCT(Assumptions!$C$59:$C$70*(Assumptions!$B$59:$B$70&gt;=G60))*C60</f>
        <v>1118</v>
      </c>
      <c r="W60" s="41" t="n">
        <f aca="false">SUMPRODUCT(Assumptions!$C$59:$C$70*(Assumptions!$B$59:$B$70&gt;=H60))*C60</f>
        <v>750</v>
      </c>
      <c r="X60" s="45" t="n">
        <f aca="false">B60/12*(U60+D60*F60*V60+E60*W60)</f>
        <v>10785912.0833333</v>
      </c>
      <c r="Y60" s="45" t="n">
        <f aca="false">X60*(1+I60+J60)+Assumptions!$C$50+K60*(1+L60)/12*U60</f>
        <v>13694843.1333333</v>
      </c>
      <c r="Z60" s="45" t="n">
        <f aca="false">M60*N60*Assumptions!$C$41+O60/12*U60+P60+Q60*U60+R60</f>
        <v>287720</v>
      </c>
      <c r="AA60" s="45" t="n">
        <f aca="false">Y60+Z60</f>
        <v>13982563.1333333</v>
      </c>
      <c r="AB60" s="45" t="n">
        <f aca="false">S60*(AA60-T60*X60)</f>
        <v>63933.021</v>
      </c>
      <c r="AC60" s="29" t="n">
        <f aca="false">AA60+AB60</f>
        <v>14046496.1543333</v>
      </c>
    </row>
    <row r="61" customFormat="false" ht="15" hidden="false" customHeight="false" outlineLevel="0" collapsed="false">
      <c r="A61" s="44" t="s">
        <v>337</v>
      </c>
      <c r="B61" s="45" t="n">
        <f aca="false">Assumptions!$C$22</f>
        <v>85000</v>
      </c>
      <c r="C61" s="54" t="n">
        <f aca="false">1</f>
        <v>1</v>
      </c>
      <c r="D61" s="52" t="n">
        <f aca="false">Assumptions!$F$13</f>
        <v>0.035</v>
      </c>
      <c r="E61" s="52" t="n">
        <f aca="false">Assumptions!$F$14</f>
        <v>0.01</v>
      </c>
      <c r="F61" s="48" t="n">
        <f aca="false">Assumptions!$C$23</f>
        <v>0.9</v>
      </c>
      <c r="G61" s="21" t="n">
        <f aca="false">Assumptions!$C$24</f>
        <v>4</v>
      </c>
      <c r="H61" s="21" t="n">
        <f aca="false">Assumptions!$C$25</f>
        <v>7</v>
      </c>
      <c r="I61" s="52" t="n">
        <f aca="false">Assumptions!$C$26</f>
        <v>0.08</v>
      </c>
      <c r="J61" s="52" t="n">
        <f aca="false">Assumptions!$C$27</f>
        <v>0.04</v>
      </c>
      <c r="K61" s="45" t="n">
        <f aca="false">Assumptions!$C$28</f>
        <v>11000</v>
      </c>
      <c r="L61" s="52" t="n">
        <f aca="false">$L$43*(1-$C$4)</f>
        <v>0.072</v>
      </c>
      <c r="M61" s="41" t="n">
        <f aca="false">Assumptions!$F$16</f>
        <v>24</v>
      </c>
      <c r="N61" s="45" t="n">
        <f aca="false">Assumptions!$F$17</f>
        <v>4000</v>
      </c>
      <c r="O61" s="45" t="n">
        <f aca="false">Assumptions!$C$29</f>
        <v>900</v>
      </c>
      <c r="P61" s="45" t="n">
        <f aca="false">Assumptions!$C$30</f>
        <v>36000</v>
      </c>
      <c r="Q61" s="37" t="n">
        <f aca="false">Assumptions!$C$31</f>
        <v>14</v>
      </c>
      <c r="R61" s="45" t="n">
        <f aca="false">Assumptions!$C$32</f>
        <v>24000</v>
      </c>
      <c r="S61" s="52" t="n">
        <f aca="false">Assumptions!$F$18</f>
        <v>0.02</v>
      </c>
      <c r="T61" s="21" t="n">
        <f aca="false">IF(Assumptions!$C$33="All except base pay",1,0)</f>
        <v>1</v>
      </c>
      <c r="U61" s="41" t="n">
        <f aca="false">SUM(Assumptions!$C$59:$C$70)*C61</f>
        <v>1480</v>
      </c>
      <c r="V61" s="41" t="n">
        <f aca="false">SUMPRODUCT(Assumptions!$C$59:$C$70*(Assumptions!$B$59:$B$70&gt;=G61))*C61</f>
        <v>1118</v>
      </c>
      <c r="W61" s="41" t="n">
        <f aca="false">SUMPRODUCT(Assumptions!$C$59:$C$70*(Assumptions!$B$59:$B$70&gt;=H61))*C61</f>
        <v>750</v>
      </c>
      <c r="X61" s="45" t="n">
        <f aca="false">B61/12*(U61+D61*F61*V61+E61*W61)</f>
        <v>10785912.0833333</v>
      </c>
      <c r="Y61" s="45" t="n">
        <f aca="false">X61*(1+I61+J61)+Assumptions!$C$50+K61*(1+L61)/12*U61</f>
        <v>13537469.8</v>
      </c>
      <c r="Z61" s="45" t="n">
        <f aca="false">M61*N61*Assumptions!$C$41+O61/12*U61+P61+Q61*U61+R61</f>
        <v>287720</v>
      </c>
      <c r="AA61" s="45" t="n">
        <f aca="false">Y61+Z61</f>
        <v>13825189.8</v>
      </c>
      <c r="AB61" s="45" t="n">
        <f aca="false">S61*(AA61-T61*X61)</f>
        <v>60785.5543333333</v>
      </c>
      <c r="AC61" s="29" t="n">
        <f aca="false">AA61+AB61</f>
        <v>13885975.3543333</v>
      </c>
    </row>
    <row r="62" customFormat="false" ht="15" hidden="false" customHeight="false" outlineLevel="0" collapsed="false">
      <c r="A62" s="44" t="s">
        <v>338</v>
      </c>
      <c r="B62" s="45" t="n">
        <f aca="false">Assumptions!$C$22</f>
        <v>85000</v>
      </c>
      <c r="C62" s="54" t="n">
        <f aca="false">1</f>
        <v>1</v>
      </c>
      <c r="D62" s="52" t="n">
        <f aca="false">Assumptions!$F$13</f>
        <v>0.035</v>
      </c>
      <c r="E62" s="52" t="n">
        <f aca="false">Assumptions!$F$14</f>
        <v>0.01</v>
      </c>
      <c r="F62" s="48" t="n">
        <f aca="false">Assumptions!$C$23</f>
        <v>0.9</v>
      </c>
      <c r="G62" s="21" t="n">
        <f aca="false">Assumptions!$C$24</f>
        <v>4</v>
      </c>
      <c r="H62" s="21" t="n">
        <f aca="false">Assumptions!$C$25</f>
        <v>7</v>
      </c>
      <c r="I62" s="52" t="n">
        <f aca="false">Assumptions!$C$26</f>
        <v>0.08</v>
      </c>
      <c r="J62" s="52" t="n">
        <f aca="false">Assumptions!$C$27</f>
        <v>0.04</v>
      </c>
      <c r="K62" s="45" t="n">
        <f aca="false">Assumptions!$C$28</f>
        <v>11000</v>
      </c>
      <c r="L62" s="52" t="n">
        <f aca="false">$L$43*(1+$C$4)</f>
        <v>0.088</v>
      </c>
      <c r="M62" s="41" t="n">
        <f aca="false">Assumptions!$F$16</f>
        <v>24</v>
      </c>
      <c r="N62" s="45" t="n">
        <f aca="false">Assumptions!$F$17</f>
        <v>4000</v>
      </c>
      <c r="O62" s="45" t="n">
        <f aca="false">Assumptions!$C$29</f>
        <v>900</v>
      </c>
      <c r="P62" s="45" t="n">
        <f aca="false">Assumptions!$C$30</f>
        <v>36000</v>
      </c>
      <c r="Q62" s="37" t="n">
        <f aca="false">Assumptions!$C$31</f>
        <v>14</v>
      </c>
      <c r="R62" s="45" t="n">
        <f aca="false">Assumptions!$C$32</f>
        <v>24000</v>
      </c>
      <c r="S62" s="52" t="n">
        <f aca="false">Assumptions!$F$18</f>
        <v>0.02</v>
      </c>
      <c r="T62" s="21" t="n">
        <f aca="false">IF(Assumptions!$C$33="All except base pay",1,0)</f>
        <v>1</v>
      </c>
      <c r="U62" s="41" t="n">
        <f aca="false">SUM(Assumptions!$C$59:$C$70)*C62</f>
        <v>1480</v>
      </c>
      <c r="V62" s="41" t="n">
        <f aca="false">SUMPRODUCT(Assumptions!$C$59:$C$70*(Assumptions!$B$59:$B$70&gt;=G62))*C62</f>
        <v>1118</v>
      </c>
      <c r="W62" s="41" t="n">
        <f aca="false">SUMPRODUCT(Assumptions!$C$59:$C$70*(Assumptions!$B$59:$B$70&gt;=H62))*C62</f>
        <v>750</v>
      </c>
      <c r="X62" s="45" t="n">
        <f aca="false">B62/12*(U62+D62*F62*V62+E62*W62)</f>
        <v>10785912.0833333</v>
      </c>
      <c r="Y62" s="45" t="n">
        <f aca="false">X62*(1+I62+J62)+Assumptions!$C$50+K62*(1+L62)/12*U62</f>
        <v>13559176.4666667</v>
      </c>
      <c r="Z62" s="45" t="n">
        <f aca="false">M62*N62*Assumptions!$C$41+O62/12*U62+P62+Q62*U62+R62</f>
        <v>287720</v>
      </c>
      <c r="AA62" s="45" t="n">
        <f aca="false">Y62+Z62</f>
        <v>13846896.4666667</v>
      </c>
      <c r="AB62" s="45" t="n">
        <f aca="false">S62*(AA62-T62*X62)</f>
        <v>61219.6876666667</v>
      </c>
      <c r="AC62" s="29" t="n">
        <f aca="false">AA62+AB62</f>
        <v>13908116.1543333</v>
      </c>
    </row>
    <row r="63" customFormat="false" ht="15" hidden="false" customHeight="false" outlineLevel="0" collapsed="false">
      <c r="A63" s="44" t="s">
        <v>339</v>
      </c>
      <c r="B63" s="45" t="n">
        <f aca="false">Assumptions!$C$22</f>
        <v>85000</v>
      </c>
      <c r="C63" s="54" t="n">
        <f aca="false">1</f>
        <v>1</v>
      </c>
      <c r="D63" s="52" t="n">
        <f aca="false">Assumptions!$F$13</f>
        <v>0.035</v>
      </c>
      <c r="E63" s="52" t="n">
        <f aca="false">Assumptions!$F$14</f>
        <v>0.01</v>
      </c>
      <c r="F63" s="48" t="n">
        <f aca="false">Assumptions!$C$23</f>
        <v>0.9</v>
      </c>
      <c r="G63" s="21" t="n">
        <f aca="false">Assumptions!$C$24</f>
        <v>4</v>
      </c>
      <c r="H63" s="21" t="n">
        <f aca="false">Assumptions!$C$25</f>
        <v>7</v>
      </c>
      <c r="I63" s="52" t="n">
        <f aca="false">Assumptions!$C$26</f>
        <v>0.08</v>
      </c>
      <c r="J63" s="52" t="n">
        <f aca="false">Assumptions!$C$27</f>
        <v>0.04</v>
      </c>
      <c r="K63" s="45" t="n">
        <f aca="false">Assumptions!$C$28</f>
        <v>11000</v>
      </c>
      <c r="L63" s="52" t="n">
        <f aca="false">Assumptions!$F$15</f>
        <v>0.08</v>
      </c>
      <c r="M63" s="41" t="n">
        <f aca="false">$M$43*(1-$C$4)</f>
        <v>21.6</v>
      </c>
      <c r="N63" s="45" t="n">
        <f aca="false">Assumptions!$F$17</f>
        <v>4000</v>
      </c>
      <c r="O63" s="45" t="n">
        <f aca="false">Assumptions!$C$29</f>
        <v>900</v>
      </c>
      <c r="P63" s="45" t="n">
        <f aca="false">Assumptions!$C$30</f>
        <v>36000</v>
      </c>
      <c r="Q63" s="37" t="n">
        <f aca="false">Assumptions!$C$31</f>
        <v>14</v>
      </c>
      <c r="R63" s="45" t="n">
        <f aca="false">Assumptions!$C$32</f>
        <v>24000</v>
      </c>
      <c r="S63" s="52" t="n">
        <f aca="false">Assumptions!$F$18</f>
        <v>0.02</v>
      </c>
      <c r="T63" s="21" t="n">
        <f aca="false">IF(Assumptions!$C$33="All except base pay",1,0)</f>
        <v>1</v>
      </c>
      <c r="U63" s="41" t="n">
        <f aca="false">SUM(Assumptions!$C$59:$C$70)*C63</f>
        <v>1480</v>
      </c>
      <c r="V63" s="41" t="n">
        <f aca="false">SUMPRODUCT(Assumptions!$C$59:$C$70*(Assumptions!$B$59:$B$70&gt;=G63))*C63</f>
        <v>1118</v>
      </c>
      <c r="W63" s="41" t="n">
        <f aca="false">SUMPRODUCT(Assumptions!$C$59:$C$70*(Assumptions!$B$59:$B$70&gt;=H63))*C63</f>
        <v>750</v>
      </c>
      <c r="X63" s="45" t="n">
        <f aca="false">B63/12*(U63+D63*F63*V63+E63*W63)</f>
        <v>10785912.0833333</v>
      </c>
      <c r="Y63" s="45" t="n">
        <f aca="false">X63*(1+I63+J63)+Assumptions!$C$50+K63*(1+L63)/12*U63</f>
        <v>13548323.1333333</v>
      </c>
      <c r="Z63" s="45" t="n">
        <f aca="false">M63*N63*Assumptions!$C$41+O63/12*U63+P63+Q63*U63+R63</f>
        <v>278120</v>
      </c>
      <c r="AA63" s="45" t="n">
        <f aca="false">Y63+Z63</f>
        <v>13826443.1333333</v>
      </c>
      <c r="AB63" s="45" t="n">
        <f aca="false">S63*(AA63-T63*X63)</f>
        <v>60810.621</v>
      </c>
      <c r="AC63" s="29" t="n">
        <f aca="false">AA63+AB63</f>
        <v>13887253.7543333</v>
      </c>
    </row>
    <row r="64" customFormat="false" ht="15" hidden="false" customHeight="false" outlineLevel="0" collapsed="false">
      <c r="A64" s="44" t="s">
        <v>340</v>
      </c>
      <c r="B64" s="45" t="n">
        <f aca="false">Assumptions!$C$22</f>
        <v>85000</v>
      </c>
      <c r="C64" s="54" t="n">
        <f aca="false">1</f>
        <v>1</v>
      </c>
      <c r="D64" s="52" t="n">
        <f aca="false">Assumptions!$F$13</f>
        <v>0.035</v>
      </c>
      <c r="E64" s="52" t="n">
        <f aca="false">Assumptions!$F$14</f>
        <v>0.01</v>
      </c>
      <c r="F64" s="48" t="n">
        <f aca="false">Assumptions!$C$23</f>
        <v>0.9</v>
      </c>
      <c r="G64" s="21" t="n">
        <f aca="false">Assumptions!$C$24</f>
        <v>4</v>
      </c>
      <c r="H64" s="21" t="n">
        <f aca="false">Assumptions!$C$25</f>
        <v>7</v>
      </c>
      <c r="I64" s="52" t="n">
        <f aca="false">Assumptions!$C$26</f>
        <v>0.08</v>
      </c>
      <c r="J64" s="52" t="n">
        <f aca="false">Assumptions!$C$27</f>
        <v>0.04</v>
      </c>
      <c r="K64" s="45" t="n">
        <f aca="false">Assumptions!$C$28</f>
        <v>11000</v>
      </c>
      <c r="L64" s="52" t="n">
        <f aca="false">Assumptions!$F$15</f>
        <v>0.08</v>
      </c>
      <c r="M64" s="41" t="n">
        <f aca="false">$M$43*(1+$C$4)</f>
        <v>26.4</v>
      </c>
      <c r="N64" s="45" t="n">
        <f aca="false">Assumptions!$F$17</f>
        <v>4000</v>
      </c>
      <c r="O64" s="45" t="n">
        <f aca="false">Assumptions!$C$29</f>
        <v>900</v>
      </c>
      <c r="P64" s="45" t="n">
        <f aca="false">Assumptions!$C$30</f>
        <v>36000</v>
      </c>
      <c r="Q64" s="37" t="n">
        <f aca="false">Assumptions!$C$31</f>
        <v>14</v>
      </c>
      <c r="R64" s="45" t="n">
        <f aca="false">Assumptions!$C$32</f>
        <v>24000</v>
      </c>
      <c r="S64" s="52" t="n">
        <f aca="false">Assumptions!$F$18</f>
        <v>0.02</v>
      </c>
      <c r="T64" s="21" t="n">
        <f aca="false">IF(Assumptions!$C$33="All except base pay",1,0)</f>
        <v>1</v>
      </c>
      <c r="U64" s="41" t="n">
        <f aca="false">SUM(Assumptions!$C$59:$C$70)*C64</f>
        <v>1480</v>
      </c>
      <c r="V64" s="41" t="n">
        <f aca="false">SUMPRODUCT(Assumptions!$C$59:$C$70*(Assumptions!$B$59:$B$70&gt;=G64))*C64</f>
        <v>1118</v>
      </c>
      <c r="W64" s="41" t="n">
        <f aca="false">SUMPRODUCT(Assumptions!$C$59:$C$70*(Assumptions!$B$59:$B$70&gt;=H64))*C64</f>
        <v>750</v>
      </c>
      <c r="X64" s="45" t="n">
        <f aca="false">B64/12*(U64+D64*F64*V64+E64*W64)</f>
        <v>10785912.0833333</v>
      </c>
      <c r="Y64" s="45" t="n">
        <f aca="false">X64*(1+I64+J64)+Assumptions!$C$50+K64*(1+L64)/12*U64</f>
        <v>13548323.1333333</v>
      </c>
      <c r="Z64" s="45" t="n">
        <f aca="false">M64*N64*Assumptions!$C$41+O64/12*U64+P64+Q64*U64+R64</f>
        <v>297320</v>
      </c>
      <c r="AA64" s="45" t="n">
        <f aca="false">Y64+Z64</f>
        <v>13845643.1333333</v>
      </c>
      <c r="AB64" s="45" t="n">
        <f aca="false">S64*(AA64-T64*X64)</f>
        <v>61194.621</v>
      </c>
      <c r="AC64" s="29" t="n">
        <f aca="false">AA64+AB64</f>
        <v>13906837.7543333</v>
      </c>
    </row>
    <row r="65" customFormat="false" ht="15" hidden="false" customHeight="false" outlineLevel="0" collapsed="false">
      <c r="A65" s="44" t="s">
        <v>341</v>
      </c>
      <c r="B65" s="45" t="n">
        <f aca="false">Assumptions!$C$22</f>
        <v>85000</v>
      </c>
      <c r="C65" s="54" t="n">
        <f aca="false">1</f>
        <v>1</v>
      </c>
      <c r="D65" s="52" t="n">
        <f aca="false">Assumptions!$F$13</f>
        <v>0.035</v>
      </c>
      <c r="E65" s="52" t="n">
        <f aca="false">Assumptions!$F$14</f>
        <v>0.01</v>
      </c>
      <c r="F65" s="48" t="n">
        <f aca="false">Assumptions!$C$23</f>
        <v>0.9</v>
      </c>
      <c r="G65" s="21" t="n">
        <f aca="false">Assumptions!$C$24</f>
        <v>4</v>
      </c>
      <c r="H65" s="21" t="n">
        <f aca="false">Assumptions!$C$25</f>
        <v>7</v>
      </c>
      <c r="I65" s="52" t="n">
        <f aca="false">Assumptions!$C$26</f>
        <v>0.08</v>
      </c>
      <c r="J65" s="52" t="n">
        <f aca="false">Assumptions!$C$27</f>
        <v>0.04</v>
      </c>
      <c r="K65" s="45" t="n">
        <f aca="false">Assumptions!$C$28</f>
        <v>11000</v>
      </c>
      <c r="L65" s="52" t="n">
        <f aca="false">Assumptions!$F$15</f>
        <v>0.08</v>
      </c>
      <c r="M65" s="41" t="n">
        <f aca="false">Assumptions!$F$16</f>
        <v>24</v>
      </c>
      <c r="N65" s="45" t="n">
        <f aca="false">$N$43*(1-$C$4)</f>
        <v>3600</v>
      </c>
      <c r="O65" s="45" t="n">
        <f aca="false">Assumptions!$C$29</f>
        <v>900</v>
      </c>
      <c r="P65" s="45" t="n">
        <f aca="false">Assumptions!$C$30</f>
        <v>36000</v>
      </c>
      <c r="Q65" s="37" t="n">
        <f aca="false">Assumptions!$C$31</f>
        <v>14</v>
      </c>
      <c r="R65" s="45" t="n">
        <f aca="false">Assumptions!$C$32</f>
        <v>24000</v>
      </c>
      <c r="S65" s="52" t="n">
        <f aca="false">Assumptions!$F$18</f>
        <v>0.02</v>
      </c>
      <c r="T65" s="21" t="n">
        <f aca="false">IF(Assumptions!$C$33="All except base pay",1,0)</f>
        <v>1</v>
      </c>
      <c r="U65" s="41" t="n">
        <f aca="false">SUM(Assumptions!$C$59:$C$70)*C65</f>
        <v>1480</v>
      </c>
      <c r="V65" s="41" t="n">
        <f aca="false">SUMPRODUCT(Assumptions!$C$59:$C$70*(Assumptions!$B$59:$B$70&gt;=G65))*C65</f>
        <v>1118</v>
      </c>
      <c r="W65" s="41" t="n">
        <f aca="false">SUMPRODUCT(Assumptions!$C$59:$C$70*(Assumptions!$B$59:$B$70&gt;=H65))*C65</f>
        <v>750</v>
      </c>
      <c r="X65" s="45" t="n">
        <f aca="false">B65/12*(U65+D65*F65*V65+E65*W65)</f>
        <v>10785912.0833333</v>
      </c>
      <c r="Y65" s="45" t="n">
        <f aca="false">X65*(1+I65+J65)+Assumptions!$C$50+K65*(1+L65)/12*U65</f>
        <v>13548323.1333333</v>
      </c>
      <c r="Z65" s="45" t="n">
        <f aca="false">M65*N65*Assumptions!$C$41+O65/12*U65+P65+Q65*U65+R65</f>
        <v>278120</v>
      </c>
      <c r="AA65" s="45" t="n">
        <f aca="false">Y65+Z65</f>
        <v>13826443.1333333</v>
      </c>
      <c r="AB65" s="45" t="n">
        <f aca="false">S65*(AA65-T65*X65)</f>
        <v>60810.621</v>
      </c>
      <c r="AC65" s="29" t="n">
        <f aca="false">AA65+AB65</f>
        <v>13887253.7543333</v>
      </c>
    </row>
    <row r="66" customFormat="false" ht="15" hidden="false" customHeight="false" outlineLevel="0" collapsed="false">
      <c r="A66" s="44" t="s">
        <v>342</v>
      </c>
      <c r="B66" s="45" t="n">
        <f aca="false">Assumptions!$C$22</f>
        <v>85000</v>
      </c>
      <c r="C66" s="54" t="n">
        <f aca="false">1</f>
        <v>1</v>
      </c>
      <c r="D66" s="52" t="n">
        <f aca="false">Assumptions!$F$13</f>
        <v>0.035</v>
      </c>
      <c r="E66" s="52" t="n">
        <f aca="false">Assumptions!$F$14</f>
        <v>0.01</v>
      </c>
      <c r="F66" s="48" t="n">
        <f aca="false">Assumptions!$C$23</f>
        <v>0.9</v>
      </c>
      <c r="G66" s="21" t="n">
        <f aca="false">Assumptions!$C$24</f>
        <v>4</v>
      </c>
      <c r="H66" s="21" t="n">
        <f aca="false">Assumptions!$C$25</f>
        <v>7</v>
      </c>
      <c r="I66" s="52" t="n">
        <f aca="false">Assumptions!$C$26</f>
        <v>0.08</v>
      </c>
      <c r="J66" s="52" t="n">
        <f aca="false">Assumptions!$C$27</f>
        <v>0.04</v>
      </c>
      <c r="K66" s="45" t="n">
        <f aca="false">Assumptions!$C$28</f>
        <v>11000</v>
      </c>
      <c r="L66" s="52" t="n">
        <f aca="false">Assumptions!$F$15</f>
        <v>0.08</v>
      </c>
      <c r="M66" s="41" t="n">
        <f aca="false">Assumptions!$F$16</f>
        <v>24</v>
      </c>
      <c r="N66" s="45" t="n">
        <f aca="false">$N$43*(1+$C$4)</f>
        <v>4400</v>
      </c>
      <c r="O66" s="45" t="n">
        <f aca="false">Assumptions!$C$29</f>
        <v>900</v>
      </c>
      <c r="P66" s="45" t="n">
        <f aca="false">Assumptions!$C$30</f>
        <v>36000</v>
      </c>
      <c r="Q66" s="37" t="n">
        <f aca="false">Assumptions!$C$31</f>
        <v>14</v>
      </c>
      <c r="R66" s="45" t="n">
        <f aca="false">Assumptions!$C$32</f>
        <v>24000</v>
      </c>
      <c r="S66" s="52" t="n">
        <f aca="false">Assumptions!$F$18</f>
        <v>0.02</v>
      </c>
      <c r="T66" s="21" t="n">
        <f aca="false">IF(Assumptions!$C$33="All except base pay",1,0)</f>
        <v>1</v>
      </c>
      <c r="U66" s="41" t="n">
        <f aca="false">SUM(Assumptions!$C$59:$C$70)*C66</f>
        <v>1480</v>
      </c>
      <c r="V66" s="41" t="n">
        <f aca="false">SUMPRODUCT(Assumptions!$C$59:$C$70*(Assumptions!$B$59:$B$70&gt;=G66))*C66</f>
        <v>1118</v>
      </c>
      <c r="W66" s="41" t="n">
        <f aca="false">SUMPRODUCT(Assumptions!$C$59:$C$70*(Assumptions!$B$59:$B$70&gt;=H66))*C66</f>
        <v>750</v>
      </c>
      <c r="X66" s="45" t="n">
        <f aca="false">B66/12*(U66+D66*F66*V66+E66*W66)</f>
        <v>10785912.0833333</v>
      </c>
      <c r="Y66" s="45" t="n">
        <f aca="false">X66*(1+I66+J66)+Assumptions!$C$50+K66*(1+L66)/12*U66</f>
        <v>13548323.1333333</v>
      </c>
      <c r="Z66" s="45" t="n">
        <f aca="false">M66*N66*Assumptions!$C$41+O66/12*U66+P66+Q66*U66+R66</f>
        <v>297320</v>
      </c>
      <c r="AA66" s="45" t="n">
        <f aca="false">Y66+Z66</f>
        <v>13845643.1333333</v>
      </c>
      <c r="AB66" s="45" t="n">
        <f aca="false">S66*(AA66-T66*X66)</f>
        <v>61194.621</v>
      </c>
      <c r="AC66" s="29" t="n">
        <f aca="false">AA66+AB66</f>
        <v>13906837.7543333</v>
      </c>
    </row>
    <row r="67" customFormat="false" ht="15" hidden="false" customHeight="false" outlineLevel="0" collapsed="false">
      <c r="A67" s="44" t="s">
        <v>343</v>
      </c>
      <c r="B67" s="45" t="n">
        <f aca="false">Assumptions!$C$22</f>
        <v>85000</v>
      </c>
      <c r="C67" s="54" t="n">
        <f aca="false">1</f>
        <v>1</v>
      </c>
      <c r="D67" s="52" t="n">
        <f aca="false">Assumptions!$F$13</f>
        <v>0.035</v>
      </c>
      <c r="E67" s="52" t="n">
        <f aca="false">Assumptions!$F$14</f>
        <v>0.01</v>
      </c>
      <c r="F67" s="48" t="n">
        <f aca="false">Assumptions!$C$23</f>
        <v>0.9</v>
      </c>
      <c r="G67" s="21" t="n">
        <f aca="false">Assumptions!$C$24</f>
        <v>4</v>
      </c>
      <c r="H67" s="21" t="n">
        <f aca="false">Assumptions!$C$25</f>
        <v>7</v>
      </c>
      <c r="I67" s="52" t="n">
        <f aca="false">Assumptions!$C$26</f>
        <v>0.08</v>
      </c>
      <c r="J67" s="52" t="n">
        <f aca="false">Assumptions!$C$27</f>
        <v>0.04</v>
      </c>
      <c r="K67" s="45" t="n">
        <f aca="false">Assumptions!$C$28</f>
        <v>11000</v>
      </c>
      <c r="L67" s="52" t="n">
        <f aca="false">Assumptions!$F$15</f>
        <v>0.08</v>
      </c>
      <c r="M67" s="41" t="n">
        <f aca="false">Assumptions!$F$16</f>
        <v>24</v>
      </c>
      <c r="N67" s="45" t="n">
        <f aca="false">Assumptions!$F$17</f>
        <v>4000</v>
      </c>
      <c r="O67" s="45" t="n">
        <f aca="false">$O$43*(1-$C$4)</f>
        <v>810</v>
      </c>
      <c r="P67" s="45" t="n">
        <f aca="false">Assumptions!$C$30</f>
        <v>36000</v>
      </c>
      <c r="Q67" s="37" t="n">
        <f aca="false">Assumptions!$C$31</f>
        <v>14</v>
      </c>
      <c r="R67" s="45" t="n">
        <f aca="false">Assumptions!$C$32</f>
        <v>24000</v>
      </c>
      <c r="S67" s="52" t="n">
        <f aca="false">Assumptions!$F$18</f>
        <v>0.02</v>
      </c>
      <c r="T67" s="21" t="n">
        <f aca="false">IF(Assumptions!$C$33="All except base pay",1,0)</f>
        <v>1</v>
      </c>
      <c r="U67" s="41" t="n">
        <f aca="false">SUM(Assumptions!$C$59:$C$70)*C67</f>
        <v>1480</v>
      </c>
      <c r="V67" s="41" t="n">
        <f aca="false">SUMPRODUCT(Assumptions!$C$59:$C$70*(Assumptions!$B$59:$B$70&gt;=G67))*C67</f>
        <v>1118</v>
      </c>
      <c r="W67" s="41" t="n">
        <f aca="false">SUMPRODUCT(Assumptions!$C$59:$C$70*(Assumptions!$B$59:$B$70&gt;=H67))*C67</f>
        <v>750</v>
      </c>
      <c r="X67" s="45" t="n">
        <f aca="false">B67/12*(U67+D67*F67*V67+E67*W67)</f>
        <v>10785912.0833333</v>
      </c>
      <c r="Y67" s="45" t="n">
        <f aca="false">X67*(1+I67+J67)+Assumptions!$C$50+K67*(1+L67)/12*U67</f>
        <v>13548323.1333333</v>
      </c>
      <c r="Z67" s="45" t="n">
        <f aca="false">M67*N67*Assumptions!$C$41+O67/12*U67+P67+Q67*U67+R67</f>
        <v>276620</v>
      </c>
      <c r="AA67" s="45" t="n">
        <f aca="false">Y67+Z67</f>
        <v>13824943.1333333</v>
      </c>
      <c r="AB67" s="45" t="n">
        <f aca="false">S67*(AA67-T67*X67)</f>
        <v>60780.621</v>
      </c>
      <c r="AC67" s="29" t="n">
        <f aca="false">AA67+AB67</f>
        <v>13885723.7543333</v>
      </c>
    </row>
    <row r="68" customFormat="false" ht="15" hidden="false" customHeight="false" outlineLevel="0" collapsed="false">
      <c r="A68" s="44" t="s">
        <v>344</v>
      </c>
      <c r="B68" s="45" t="n">
        <f aca="false">Assumptions!$C$22</f>
        <v>85000</v>
      </c>
      <c r="C68" s="54" t="n">
        <f aca="false">1</f>
        <v>1</v>
      </c>
      <c r="D68" s="52" t="n">
        <f aca="false">Assumptions!$F$13</f>
        <v>0.035</v>
      </c>
      <c r="E68" s="52" t="n">
        <f aca="false">Assumptions!$F$14</f>
        <v>0.01</v>
      </c>
      <c r="F68" s="48" t="n">
        <f aca="false">Assumptions!$C$23</f>
        <v>0.9</v>
      </c>
      <c r="G68" s="21" t="n">
        <f aca="false">Assumptions!$C$24</f>
        <v>4</v>
      </c>
      <c r="H68" s="21" t="n">
        <f aca="false">Assumptions!$C$25</f>
        <v>7</v>
      </c>
      <c r="I68" s="52" t="n">
        <f aca="false">Assumptions!$C$26</f>
        <v>0.08</v>
      </c>
      <c r="J68" s="52" t="n">
        <f aca="false">Assumptions!$C$27</f>
        <v>0.04</v>
      </c>
      <c r="K68" s="45" t="n">
        <f aca="false">Assumptions!$C$28</f>
        <v>11000</v>
      </c>
      <c r="L68" s="52" t="n">
        <f aca="false">Assumptions!$F$15</f>
        <v>0.08</v>
      </c>
      <c r="M68" s="41" t="n">
        <f aca="false">Assumptions!$F$16</f>
        <v>24</v>
      </c>
      <c r="N68" s="45" t="n">
        <f aca="false">Assumptions!$F$17</f>
        <v>4000</v>
      </c>
      <c r="O68" s="45" t="n">
        <f aca="false">$O$43*(1+$C$4)</f>
        <v>990</v>
      </c>
      <c r="P68" s="45" t="n">
        <f aca="false">Assumptions!$C$30</f>
        <v>36000</v>
      </c>
      <c r="Q68" s="37" t="n">
        <f aca="false">Assumptions!$C$31</f>
        <v>14</v>
      </c>
      <c r="R68" s="45" t="n">
        <f aca="false">Assumptions!$C$32</f>
        <v>24000</v>
      </c>
      <c r="S68" s="52" t="n">
        <f aca="false">Assumptions!$F$18</f>
        <v>0.02</v>
      </c>
      <c r="T68" s="21" t="n">
        <f aca="false">IF(Assumptions!$C$33="All except base pay",1,0)</f>
        <v>1</v>
      </c>
      <c r="U68" s="41" t="n">
        <f aca="false">SUM(Assumptions!$C$59:$C$70)*C68</f>
        <v>1480</v>
      </c>
      <c r="V68" s="41" t="n">
        <f aca="false">SUMPRODUCT(Assumptions!$C$59:$C$70*(Assumptions!$B$59:$B$70&gt;=G68))*C68</f>
        <v>1118</v>
      </c>
      <c r="W68" s="41" t="n">
        <f aca="false">SUMPRODUCT(Assumptions!$C$59:$C$70*(Assumptions!$B$59:$B$70&gt;=H68))*C68</f>
        <v>750</v>
      </c>
      <c r="X68" s="45" t="n">
        <f aca="false">B68/12*(U68+D68*F68*V68+E68*W68)</f>
        <v>10785912.0833333</v>
      </c>
      <c r="Y68" s="45" t="n">
        <f aca="false">X68*(1+I68+J68)+Assumptions!$C$50+K68*(1+L68)/12*U68</f>
        <v>13548323.1333333</v>
      </c>
      <c r="Z68" s="45" t="n">
        <f aca="false">M68*N68*Assumptions!$C$41+O68/12*U68+P68+Q68*U68+R68</f>
        <v>298820</v>
      </c>
      <c r="AA68" s="45" t="n">
        <f aca="false">Y68+Z68</f>
        <v>13847143.1333333</v>
      </c>
      <c r="AB68" s="45" t="n">
        <f aca="false">S68*(AA68-T68*X68)</f>
        <v>61224.621</v>
      </c>
      <c r="AC68" s="29" t="n">
        <f aca="false">AA68+AB68</f>
        <v>13908367.7543333</v>
      </c>
    </row>
    <row r="69" customFormat="false" ht="15" hidden="false" customHeight="false" outlineLevel="0" collapsed="false">
      <c r="A69" s="44" t="s">
        <v>345</v>
      </c>
      <c r="B69" s="45" t="n">
        <f aca="false">Assumptions!$C$22</f>
        <v>85000</v>
      </c>
      <c r="C69" s="54" t="n">
        <f aca="false">1</f>
        <v>1</v>
      </c>
      <c r="D69" s="52" t="n">
        <f aca="false">Assumptions!$F$13</f>
        <v>0.035</v>
      </c>
      <c r="E69" s="52" t="n">
        <f aca="false">Assumptions!$F$14</f>
        <v>0.01</v>
      </c>
      <c r="F69" s="48" t="n">
        <f aca="false">Assumptions!$C$23</f>
        <v>0.9</v>
      </c>
      <c r="G69" s="21" t="n">
        <f aca="false">Assumptions!$C$24</f>
        <v>4</v>
      </c>
      <c r="H69" s="21" t="n">
        <f aca="false">Assumptions!$C$25</f>
        <v>7</v>
      </c>
      <c r="I69" s="52" t="n">
        <f aca="false">Assumptions!$C$26</f>
        <v>0.08</v>
      </c>
      <c r="J69" s="52" t="n">
        <f aca="false">Assumptions!$C$27</f>
        <v>0.04</v>
      </c>
      <c r="K69" s="45" t="n">
        <f aca="false">Assumptions!$C$28</f>
        <v>11000</v>
      </c>
      <c r="L69" s="52" t="n">
        <f aca="false">Assumptions!$F$15</f>
        <v>0.08</v>
      </c>
      <c r="M69" s="41" t="n">
        <f aca="false">Assumptions!$F$16</f>
        <v>24</v>
      </c>
      <c r="N69" s="45" t="n">
        <f aca="false">Assumptions!$F$17</f>
        <v>4000</v>
      </c>
      <c r="O69" s="45" t="n">
        <f aca="false">Assumptions!$C$29</f>
        <v>900</v>
      </c>
      <c r="P69" s="45" t="n">
        <f aca="false">$P$43*(1-$C$4)</f>
        <v>32400</v>
      </c>
      <c r="Q69" s="37" t="n">
        <f aca="false">Assumptions!$C$31</f>
        <v>14</v>
      </c>
      <c r="R69" s="45" t="n">
        <f aca="false">Assumptions!$C$32</f>
        <v>24000</v>
      </c>
      <c r="S69" s="52" t="n">
        <f aca="false">Assumptions!$F$18</f>
        <v>0.02</v>
      </c>
      <c r="T69" s="21" t="n">
        <f aca="false">IF(Assumptions!$C$33="All except base pay",1,0)</f>
        <v>1</v>
      </c>
      <c r="U69" s="41" t="n">
        <f aca="false">SUM(Assumptions!$C$59:$C$70)*C69</f>
        <v>1480</v>
      </c>
      <c r="V69" s="41" t="n">
        <f aca="false">SUMPRODUCT(Assumptions!$C$59:$C$70*(Assumptions!$B$59:$B$70&gt;=G69))*C69</f>
        <v>1118</v>
      </c>
      <c r="W69" s="41" t="n">
        <f aca="false">SUMPRODUCT(Assumptions!$C$59:$C$70*(Assumptions!$B$59:$B$70&gt;=H69))*C69</f>
        <v>750</v>
      </c>
      <c r="X69" s="45" t="n">
        <f aca="false">B69/12*(U69+D69*F69*V69+E69*W69)</f>
        <v>10785912.0833333</v>
      </c>
      <c r="Y69" s="45" t="n">
        <f aca="false">X69*(1+I69+J69)+Assumptions!$C$50+K69*(1+L69)/12*U69</f>
        <v>13548323.1333333</v>
      </c>
      <c r="Z69" s="45" t="n">
        <f aca="false">M69*N69*Assumptions!$C$41+O69/12*U69+P69+Q69*U69+R69</f>
        <v>284120</v>
      </c>
      <c r="AA69" s="45" t="n">
        <f aca="false">Y69+Z69</f>
        <v>13832443.1333333</v>
      </c>
      <c r="AB69" s="45" t="n">
        <f aca="false">S69*(AA69-T69*X69)</f>
        <v>60930.621</v>
      </c>
      <c r="AC69" s="29" t="n">
        <f aca="false">AA69+AB69</f>
        <v>13893373.7543333</v>
      </c>
    </row>
    <row r="70" customFormat="false" ht="15" hidden="false" customHeight="false" outlineLevel="0" collapsed="false">
      <c r="A70" s="44" t="s">
        <v>346</v>
      </c>
      <c r="B70" s="45" t="n">
        <f aca="false">Assumptions!$C$22</f>
        <v>85000</v>
      </c>
      <c r="C70" s="54" t="n">
        <f aca="false">1</f>
        <v>1</v>
      </c>
      <c r="D70" s="52" t="n">
        <f aca="false">Assumptions!$F$13</f>
        <v>0.035</v>
      </c>
      <c r="E70" s="52" t="n">
        <f aca="false">Assumptions!$F$14</f>
        <v>0.01</v>
      </c>
      <c r="F70" s="48" t="n">
        <f aca="false">Assumptions!$C$23</f>
        <v>0.9</v>
      </c>
      <c r="G70" s="21" t="n">
        <f aca="false">Assumptions!$C$24</f>
        <v>4</v>
      </c>
      <c r="H70" s="21" t="n">
        <f aca="false">Assumptions!$C$25</f>
        <v>7</v>
      </c>
      <c r="I70" s="52" t="n">
        <f aca="false">Assumptions!$C$26</f>
        <v>0.08</v>
      </c>
      <c r="J70" s="52" t="n">
        <f aca="false">Assumptions!$C$27</f>
        <v>0.04</v>
      </c>
      <c r="K70" s="45" t="n">
        <f aca="false">Assumptions!$C$28</f>
        <v>11000</v>
      </c>
      <c r="L70" s="52" t="n">
        <f aca="false">Assumptions!$F$15</f>
        <v>0.08</v>
      </c>
      <c r="M70" s="41" t="n">
        <f aca="false">Assumptions!$F$16</f>
        <v>24</v>
      </c>
      <c r="N70" s="45" t="n">
        <f aca="false">Assumptions!$F$17</f>
        <v>4000</v>
      </c>
      <c r="O70" s="45" t="n">
        <f aca="false">Assumptions!$C$29</f>
        <v>900</v>
      </c>
      <c r="P70" s="45" t="n">
        <f aca="false">$P$43*(1+$C$4)</f>
        <v>39600</v>
      </c>
      <c r="Q70" s="37" t="n">
        <f aca="false">Assumptions!$C$31</f>
        <v>14</v>
      </c>
      <c r="R70" s="45" t="n">
        <f aca="false">Assumptions!$C$32</f>
        <v>24000</v>
      </c>
      <c r="S70" s="52" t="n">
        <f aca="false">Assumptions!$F$18</f>
        <v>0.02</v>
      </c>
      <c r="T70" s="21" t="n">
        <f aca="false">IF(Assumptions!$C$33="All except base pay",1,0)</f>
        <v>1</v>
      </c>
      <c r="U70" s="41" t="n">
        <f aca="false">SUM(Assumptions!$C$59:$C$70)*C70</f>
        <v>1480</v>
      </c>
      <c r="V70" s="41" t="n">
        <f aca="false">SUMPRODUCT(Assumptions!$C$59:$C$70*(Assumptions!$B$59:$B$70&gt;=G70))*C70</f>
        <v>1118</v>
      </c>
      <c r="W70" s="41" t="n">
        <f aca="false">SUMPRODUCT(Assumptions!$C$59:$C$70*(Assumptions!$B$59:$B$70&gt;=H70))*C70</f>
        <v>750</v>
      </c>
      <c r="X70" s="45" t="n">
        <f aca="false">B70/12*(U70+D70*F70*V70+E70*W70)</f>
        <v>10785912.0833333</v>
      </c>
      <c r="Y70" s="45" t="n">
        <f aca="false">X70*(1+I70+J70)+Assumptions!$C$50+K70*(1+L70)/12*U70</f>
        <v>13548323.1333333</v>
      </c>
      <c r="Z70" s="45" t="n">
        <f aca="false">M70*N70*Assumptions!$C$41+O70/12*U70+P70+Q70*U70+R70</f>
        <v>291320</v>
      </c>
      <c r="AA70" s="45" t="n">
        <f aca="false">Y70+Z70</f>
        <v>13839643.1333333</v>
      </c>
      <c r="AB70" s="45" t="n">
        <f aca="false">S70*(AA70-T70*X70)</f>
        <v>61074.621</v>
      </c>
      <c r="AC70" s="29" t="n">
        <f aca="false">AA70+AB70</f>
        <v>13900717.7543333</v>
      </c>
    </row>
    <row r="71" customFormat="false" ht="15" hidden="false" customHeight="false" outlineLevel="0" collapsed="false">
      <c r="A71" s="44" t="s">
        <v>347</v>
      </c>
      <c r="B71" s="45" t="n">
        <f aca="false">Assumptions!$C$22</f>
        <v>85000</v>
      </c>
      <c r="C71" s="54" t="n">
        <f aca="false">1</f>
        <v>1</v>
      </c>
      <c r="D71" s="52" t="n">
        <f aca="false">Assumptions!$F$13</f>
        <v>0.035</v>
      </c>
      <c r="E71" s="52" t="n">
        <f aca="false">Assumptions!$F$14</f>
        <v>0.01</v>
      </c>
      <c r="F71" s="48" t="n">
        <f aca="false">Assumptions!$C$23</f>
        <v>0.9</v>
      </c>
      <c r="G71" s="21" t="n">
        <f aca="false">Assumptions!$C$24</f>
        <v>4</v>
      </c>
      <c r="H71" s="21" t="n">
        <f aca="false">Assumptions!$C$25</f>
        <v>7</v>
      </c>
      <c r="I71" s="52" t="n">
        <f aca="false">Assumptions!$C$26</f>
        <v>0.08</v>
      </c>
      <c r="J71" s="52" t="n">
        <f aca="false">Assumptions!$C$27</f>
        <v>0.04</v>
      </c>
      <c r="K71" s="45" t="n">
        <f aca="false">Assumptions!$C$28</f>
        <v>11000</v>
      </c>
      <c r="L71" s="52" t="n">
        <f aca="false">Assumptions!$F$15</f>
        <v>0.08</v>
      </c>
      <c r="M71" s="41" t="n">
        <f aca="false">Assumptions!$F$16</f>
        <v>24</v>
      </c>
      <c r="N71" s="45" t="n">
        <f aca="false">Assumptions!$F$17</f>
        <v>4000</v>
      </c>
      <c r="O71" s="45" t="n">
        <f aca="false">Assumptions!$C$29</f>
        <v>900</v>
      </c>
      <c r="P71" s="45" t="n">
        <f aca="false">Assumptions!$C$30</f>
        <v>36000</v>
      </c>
      <c r="Q71" s="37" t="n">
        <f aca="false">$Q$43*(1-$C$4)</f>
        <v>12.6</v>
      </c>
      <c r="R71" s="45" t="n">
        <f aca="false">Assumptions!$C$32</f>
        <v>24000</v>
      </c>
      <c r="S71" s="52" t="n">
        <f aca="false">Assumptions!$F$18</f>
        <v>0.02</v>
      </c>
      <c r="T71" s="21" t="n">
        <f aca="false">IF(Assumptions!$C$33="All except base pay",1,0)</f>
        <v>1</v>
      </c>
      <c r="U71" s="41" t="n">
        <f aca="false">SUM(Assumptions!$C$59:$C$70)*C71</f>
        <v>1480</v>
      </c>
      <c r="V71" s="41" t="n">
        <f aca="false">SUMPRODUCT(Assumptions!$C$59:$C$70*(Assumptions!$B$59:$B$70&gt;=G71))*C71</f>
        <v>1118</v>
      </c>
      <c r="W71" s="41" t="n">
        <f aca="false">SUMPRODUCT(Assumptions!$C$59:$C$70*(Assumptions!$B$59:$B$70&gt;=H71))*C71</f>
        <v>750</v>
      </c>
      <c r="X71" s="45" t="n">
        <f aca="false">B71/12*(U71+D71*F71*V71+E71*W71)</f>
        <v>10785912.0833333</v>
      </c>
      <c r="Y71" s="45" t="n">
        <f aca="false">X71*(1+I71+J71)+Assumptions!$C$50+K71*(1+L71)/12*U71</f>
        <v>13548323.1333333</v>
      </c>
      <c r="Z71" s="45" t="n">
        <f aca="false">M71*N71*Assumptions!$C$41+O71/12*U71+P71+Q71*U71+R71</f>
        <v>285648</v>
      </c>
      <c r="AA71" s="45" t="n">
        <f aca="false">Y71+Z71</f>
        <v>13833971.1333333</v>
      </c>
      <c r="AB71" s="45" t="n">
        <f aca="false">S71*(AA71-T71*X71)</f>
        <v>60961.181</v>
      </c>
      <c r="AC71" s="29" t="n">
        <f aca="false">AA71+AB71</f>
        <v>13894932.3143333</v>
      </c>
    </row>
    <row r="72" customFormat="false" ht="15" hidden="false" customHeight="false" outlineLevel="0" collapsed="false">
      <c r="A72" s="44" t="s">
        <v>348</v>
      </c>
      <c r="B72" s="45" t="n">
        <f aca="false">Assumptions!$C$22</f>
        <v>85000</v>
      </c>
      <c r="C72" s="54" t="n">
        <f aca="false">1</f>
        <v>1</v>
      </c>
      <c r="D72" s="52" t="n">
        <f aca="false">Assumptions!$F$13</f>
        <v>0.035</v>
      </c>
      <c r="E72" s="52" t="n">
        <f aca="false">Assumptions!$F$14</f>
        <v>0.01</v>
      </c>
      <c r="F72" s="48" t="n">
        <f aca="false">Assumptions!$C$23</f>
        <v>0.9</v>
      </c>
      <c r="G72" s="21" t="n">
        <f aca="false">Assumptions!$C$24</f>
        <v>4</v>
      </c>
      <c r="H72" s="21" t="n">
        <f aca="false">Assumptions!$C$25</f>
        <v>7</v>
      </c>
      <c r="I72" s="52" t="n">
        <f aca="false">Assumptions!$C$26</f>
        <v>0.08</v>
      </c>
      <c r="J72" s="52" t="n">
        <f aca="false">Assumptions!$C$27</f>
        <v>0.04</v>
      </c>
      <c r="K72" s="45" t="n">
        <f aca="false">Assumptions!$C$28</f>
        <v>11000</v>
      </c>
      <c r="L72" s="52" t="n">
        <f aca="false">Assumptions!$F$15</f>
        <v>0.08</v>
      </c>
      <c r="M72" s="41" t="n">
        <f aca="false">Assumptions!$F$16</f>
        <v>24</v>
      </c>
      <c r="N72" s="45" t="n">
        <f aca="false">Assumptions!$F$17</f>
        <v>4000</v>
      </c>
      <c r="O72" s="45" t="n">
        <f aca="false">Assumptions!$C$29</f>
        <v>900</v>
      </c>
      <c r="P72" s="45" t="n">
        <f aca="false">Assumptions!$C$30</f>
        <v>36000</v>
      </c>
      <c r="Q72" s="37" t="n">
        <f aca="false">$Q$43*(1+$C$4)</f>
        <v>15.4</v>
      </c>
      <c r="R72" s="45" t="n">
        <f aca="false">Assumptions!$C$32</f>
        <v>24000</v>
      </c>
      <c r="S72" s="52" t="n">
        <f aca="false">Assumptions!$F$18</f>
        <v>0.02</v>
      </c>
      <c r="T72" s="21" t="n">
        <f aca="false">IF(Assumptions!$C$33="All except base pay",1,0)</f>
        <v>1</v>
      </c>
      <c r="U72" s="41" t="n">
        <f aca="false">SUM(Assumptions!$C$59:$C$70)*C72</f>
        <v>1480</v>
      </c>
      <c r="V72" s="41" t="n">
        <f aca="false">SUMPRODUCT(Assumptions!$C$59:$C$70*(Assumptions!$B$59:$B$70&gt;=G72))*C72</f>
        <v>1118</v>
      </c>
      <c r="W72" s="41" t="n">
        <f aca="false">SUMPRODUCT(Assumptions!$C$59:$C$70*(Assumptions!$B$59:$B$70&gt;=H72))*C72</f>
        <v>750</v>
      </c>
      <c r="X72" s="45" t="n">
        <f aca="false">B72/12*(U72+D72*F72*V72+E72*W72)</f>
        <v>10785912.0833333</v>
      </c>
      <c r="Y72" s="45" t="n">
        <f aca="false">X72*(1+I72+J72)+Assumptions!$C$50+K72*(1+L72)/12*U72</f>
        <v>13548323.1333333</v>
      </c>
      <c r="Z72" s="45" t="n">
        <f aca="false">M72*N72*Assumptions!$C$41+O72/12*U72+P72+Q72*U72+R72</f>
        <v>289792</v>
      </c>
      <c r="AA72" s="45" t="n">
        <f aca="false">Y72+Z72</f>
        <v>13838115.1333333</v>
      </c>
      <c r="AB72" s="45" t="n">
        <f aca="false">S72*(AA72-T72*X72)</f>
        <v>61044.061</v>
      </c>
      <c r="AC72" s="29" t="n">
        <f aca="false">AA72+AB72</f>
        <v>13899159.1943333</v>
      </c>
    </row>
    <row r="73" customFormat="false" ht="15" hidden="false" customHeight="false" outlineLevel="0" collapsed="false">
      <c r="A73" s="44" t="s">
        <v>349</v>
      </c>
      <c r="B73" s="45" t="n">
        <f aca="false">Assumptions!$C$22</f>
        <v>85000</v>
      </c>
      <c r="C73" s="54" t="n">
        <f aca="false">1</f>
        <v>1</v>
      </c>
      <c r="D73" s="52" t="n">
        <f aca="false">Assumptions!$F$13</f>
        <v>0.035</v>
      </c>
      <c r="E73" s="52" t="n">
        <f aca="false">Assumptions!$F$14</f>
        <v>0.01</v>
      </c>
      <c r="F73" s="48" t="n">
        <f aca="false">Assumptions!$C$23</f>
        <v>0.9</v>
      </c>
      <c r="G73" s="21" t="n">
        <f aca="false">Assumptions!$C$24</f>
        <v>4</v>
      </c>
      <c r="H73" s="21" t="n">
        <f aca="false">Assumptions!$C$25</f>
        <v>7</v>
      </c>
      <c r="I73" s="52" t="n">
        <f aca="false">Assumptions!$C$26</f>
        <v>0.08</v>
      </c>
      <c r="J73" s="52" t="n">
        <f aca="false">Assumptions!$C$27</f>
        <v>0.04</v>
      </c>
      <c r="K73" s="45" t="n">
        <f aca="false">Assumptions!$C$28</f>
        <v>11000</v>
      </c>
      <c r="L73" s="52" t="n">
        <f aca="false">Assumptions!$F$15</f>
        <v>0.08</v>
      </c>
      <c r="M73" s="41" t="n">
        <f aca="false">Assumptions!$F$16</f>
        <v>24</v>
      </c>
      <c r="N73" s="45" t="n">
        <f aca="false">Assumptions!$F$17</f>
        <v>4000</v>
      </c>
      <c r="O73" s="45" t="n">
        <f aca="false">Assumptions!$C$29</f>
        <v>900</v>
      </c>
      <c r="P73" s="45" t="n">
        <f aca="false">Assumptions!$C$30</f>
        <v>36000</v>
      </c>
      <c r="Q73" s="37" t="n">
        <f aca="false">Assumptions!$C$31</f>
        <v>14</v>
      </c>
      <c r="R73" s="45" t="n">
        <f aca="false">$R$43*(1-$C$4)</f>
        <v>21600</v>
      </c>
      <c r="S73" s="52" t="n">
        <f aca="false">Assumptions!$F$18</f>
        <v>0.02</v>
      </c>
      <c r="T73" s="21" t="n">
        <f aca="false">IF(Assumptions!$C$33="All except base pay",1,0)</f>
        <v>1</v>
      </c>
      <c r="U73" s="41" t="n">
        <f aca="false">SUM(Assumptions!$C$59:$C$70)*C73</f>
        <v>1480</v>
      </c>
      <c r="V73" s="41" t="n">
        <f aca="false">SUMPRODUCT(Assumptions!$C$59:$C$70*(Assumptions!$B$59:$B$70&gt;=G73))*C73</f>
        <v>1118</v>
      </c>
      <c r="W73" s="41" t="n">
        <f aca="false">SUMPRODUCT(Assumptions!$C$59:$C$70*(Assumptions!$B$59:$B$70&gt;=H73))*C73</f>
        <v>750</v>
      </c>
      <c r="X73" s="45" t="n">
        <f aca="false">B73/12*(U73+D73*F73*V73+E73*W73)</f>
        <v>10785912.0833333</v>
      </c>
      <c r="Y73" s="45" t="n">
        <f aca="false">X73*(1+I73+J73)+Assumptions!$C$50+K73*(1+L73)/12*U73</f>
        <v>13548323.1333333</v>
      </c>
      <c r="Z73" s="45" t="n">
        <f aca="false">M73*N73*Assumptions!$C$41+O73/12*U73+P73+Q73*U73+R73</f>
        <v>285320</v>
      </c>
      <c r="AA73" s="45" t="n">
        <f aca="false">Y73+Z73</f>
        <v>13833643.1333333</v>
      </c>
      <c r="AB73" s="45" t="n">
        <f aca="false">S73*(AA73-T73*X73)</f>
        <v>60954.621</v>
      </c>
      <c r="AC73" s="29" t="n">
        <f aca="false">AA73+AB73</f>
        <v>13894597.7543333</v>
      </c>
    </row>
    <row r="74" customFormat="false" ht="15" hidden="false" customHeight="false" outlineLevel="0" collapsed="false">
      <c r="A74" s="44" t="s">
        <v>350</v>
      </c>
      <c r="B74" s="45" t="n">
        <f aca="false">Assumptions!$C$22</f>
        <v>85000</v>
      </c>
      <c r="C74" s="54" t="n">
        <f aca="false">1</f>
        <v>1</v>
      </c>
      <c r="D74" s="52" t="n">
        <f aca="false">Assumptions!$F$13</f>
        <v>0.035</v>
      </c>
      <c r="E74" s="52" t="n">
        <f aca="false">Assumptions!$F$14</f>
        <v>0.01</v>
      </c>
      <c r="F74" s="48" t="n">
        <f aca="false">Assumptions!$C$23</f>
        <v>0.9</v>
      </c>
      <c r="G74" s="21" t="n">
        <f aca="false">Assumptions!$C$24</f>
        <v>4</v>
      </c>
      <c r="H74" s="21" t="n">
        <f aca="false">Assumptions!$C$25</f>
        <v>7</v>
      </c>
      <c r="I74" s="52" t="n">
        <f aca="false">Assumptions!$C$26</f>
        <v>0.08</v>
      </c>
      <c r="J74" s="52" t="n">
        <f aca="false">Assumptions!$C$27</f>
        <v>0.04</v>
      </c>
      <c r="K74" s="45" t="n">
        <f aca="false">Assumptions!$C$28</f>
        <v>11000</v>
      </c>
      <c r="L74" s="52" t="n">
        <f aca="false">Assumptions!$F$15</f>
        <v>0.08</v>
      </c>
      <c r="M74" s="41" t="n">
        <f aca="false">Assumptions!$F$16</f>
        <v>24</v>
      </c>
      <c r="N74" s="45" t="n">
        <f aca="false">Assumptions!$F$17</f>
        <v>4000</v>
      </c>
      <c r="O74" s="45" t="n">
        <f aca="false">Assumptions!$C$29</f>
        <v>900</v>
      </c>
      <c r="P74" s="45" t="n">
        <f aca="false">Assumptions!$C$30</f>
        <v>36000</v>
      </c>
      <c r="Q74" s="37" t="n">
        <f aca="false">Assumptions!$C$31</f>
        <v>14</v>
      </c>
      <c r="R74" s="45" t="n">
        <f aca="false">$R$43*(1+$C$4)</f>
        <v>26400</v>
      </c>
      <c r="S74" s="52" t="n">
        <f aca="false">Assumptions!$F$18</f>
        <v>0.02</v>
      </c>
      <c r="T74" s="21" t="n">
        <f aca="false">IF(Assumptions!$C$33="All except base pay",1,0)</f>
        <v>1</v>
      </c>
      <c r="U74" s="41" t="n">
        <f aca="false">SUM(Assumptions!$C$59:$C$70)*C74</f>
        <v>1480</v>
      </c>
      <c r="V74" s="41" t="n">
        <f aca="false">SUMPRODUCT(Assumptions!$C$59:$C$70*(Assumptions!$B$59:$B$70&gt;=G74))*C74</f>
        <v>1118</v>
      </c>
      <c r="W74" s="41" t="n">
        <f aca="false">SUMPRODUCT(Assumptions!$C$59:$C$70*(Assumptions!$B$59:$B$70&gt;=H74))*C74</f>
        <v>750</v>
      </c>
      <c r="X74" s="45" t="n">
        <f aca="false">B74/12*(U74+D74*F74*V74+E74*W74)</f>
        <v>10785912.0833333</v>
      </c>
      <c r="Y74" s="45" t="n">
        <f aca="false">X74*(1+I74+J74)+Assumptions!$C$50+K74*(1+L74)/12*U74</f>
        <v>13548323.1333333</v>
      </c>
      <c r="Z74" s="45" t="n">
        <f aca="false">M74*N74*Assumptions!$C$41+O74/12*U74+P74+Q74*U74+R74</f>
        <v>290120</v>
      </c>
      <c r="AA74" s="45" t="n">
        <f aca="false">Y74+Z74</f>
        <v>13838443.1333333</v>
      </c>
      <c r="AB74" s="45" t="n">
        <f aca="false">S74*(AA74-T74*X74)</f>
        <v>61050.621</v>
      </c>
      <c r="AC74" s="29" t="n">
        <f aca="false">AA74+AB74</f>
        <v>13899493.7543333</v>
      </c>
    </row>
    <row r="75" customFormat="false" ht="15" hidden="false" customHeight="false" outlineLevel="0" collapsed="false">
      <c r="A75" s="44" t="s">
        <v>351</v>
      </c>
      <c r="B75" s="45" t="n">
        <f aca="false">Assumptions!$C$22</f>
        <v>85000</v>
      </c>
      <c r="C75" s="54" t="n">
        <f aca="false">1</f>
        <v>1</v>
      </c>
      <c r="D75" s="52" t="n">
        <f aca="false">Assumptions!$F$13</f>
        <v>0.035</v>
      </c>
      <c r="E75" s="52" t="n">
        <f aca="false">Assumptions!$F$14</f>
        <v>0.01</v>
      </c>
      <c r="F75" s="48" t="n">
        <f aca="false">Assumptions!$C$23</f>
        <v>0.9</v>
      </c>
      <c r="G75" s="21" t="n">
        <f aca="false">Assumptions!$C$24</f>
        <v>4</v>
      </c>
      <c r="H75" s="21" t="n">
        <f aca="false">Assumptions!$C$25</f>
        <v>7</v>
      </c>
      <c r="I75" s="52" t="n">
        <f aca="false">Assumptions!$C$26</f>
        <v>0.08</v>
      </c>
      <c r="J75" s="52" t="n">
        <f aca="false">Assumptions!$C$27</f>
        <v>0.04</v>
      </c>
      <c r="K75" s="45" t="n">
        <f aca="false">Assumptions!$C$28</f>
        <v>11000</v>
      </c>
      <c r="L75" s="52" t="n">
        <f aca="false">Assumptions!$F$15</f>
        <v>0.08</v>
      </c>
      <c r="M75" s="41" t="n">
        <f aca="false">Assumptions!$F$16</f>
        <v>24</v>
      </c>
      <c r="N75" s="45" t="n">
        <f aca="false">Assumptions!$F$17</f>
        <v>4000</v>
      </c>
      <c r="O75" s="45" t="n">
        <f aca="false">Assumptions!$C$29</f>
        <v>900</v>
      </c>
      <c r="P75" s="45" t="n">
        <f aca="false">Assumptions!$C$30</f>
        <v>36000</v>
      </c>
      <c r="Q75" s="37" t="n">
        <f aca="false">Assumptions!$C$31</f>
        <v>14</v>
      </c>
      <c r="R75" s="45" t="n">
        <f aca="false">Assumptions!$C$32</f>
        <v>24000</v>
      </c>
      <c r="S75" s="52" t="n">
        <f aca="false">$S$43*(1-$C$4)</f>
        <v>0.018</v>
      </c>
      <c r="T75" s="21" t="n">
        <f aca="false">IF(Assumptions!$C$33="All except base pay",1,0)</f>
        <v>1</v>
      </c>
      <c r="U75" s="41" t="n">
        <f aca="false">SUM(Assumptions!$C$59:$C$70)*C75</f>
        <v>1480</v>
      </c>
      <c r="V75" s="41" t="n">
        <f aca="false">SUMPRODUCT(Assumptions!$C$59:$C$70*(Assumptions!$B$59:$B$70&gt;=G75))*C75</f>
        <v>1118</v>
      </c>
      <c r="W75" s="41" t="n">
        <f aca="false">SUMPRODUCT(Assumptions!$C$59:$C$70*(Assumptions!$B$59:$B$70&gt;=H75))*C75</f>
        <v>750</v>
      </c>
      <c r="X75" s="45" t="n">
        <f aca="false">B75/12*(U75+D75*F75*V75+E75*W75)</f>
        <v>10785912.0833333</v>
      </c>
      <c r="Y75" s="45" t="n">
        <f aca="false">X75*(1+I75+J75)+Assumptions!$C$50+K75*(1+L75)/12*U75</f>
        <v>13548323.1333333</v>
      </c>
      <c r="Z75" s="45" t="n">
        <f aca="false">M75*N75*Assumptions!$C$41+O75/12*U75+P75+Q75*U75+R75</f>
        <v>287720</v>
      </c>
      <c r="AA75" s="45" t="n">
        <f aca="false">Y75+Z75</f>
        <v>13836043.1333333</v>
      </c>
      <c r="AB75" s="45" t="n">
        <f aca="false">S75*(AA75-T75*X75)</f>
        <v>54902.3589</v>
      </c>
      <c r="AC75" s="29" t="n">
        <f aca="false">AA75+AB75</f>
        <v>13890945.4922333</v>
      </c>
    </row>
    <row r="76" customFormat="false" ht="15" hidden="false" customHeight="false" outlineLevel="0" collapsed="false">
      <c r="A76" s="44" t="s">
        <v>352</v>
      </c>
      <c r="B76" s="45" t="n">
        <f aca="false">Assumptions!$C$22</f>
        <v>85000</v>
      </c>
      <c r="C76" s="54" t="n">
        <f aca="false">1</f>
        <v>1</v>
      </c>
      <c r="D76" s="52" t="n">
        <f aca="false">Assumptions!$F$13</f>
        <v>0.035</v>
      </c>
      <c r="E76" s="52" t="n">
        <f aca="false">Assumptions!$F$14</f>
        <v>0.01</v>
      </c>
      <c r="F76" s="48" t="n">
        <f aca="false">Assumptions!$C$23</f>
        <v>0.9</v>
      </c>
      <c r="G76" s="21" t="n">
        <f aca="false">Assumptions!$C$24</f>
        <v>4</v>
      </c>
      <c r="H76" s="21" t="n">
        <f aca="false">Assumptions!$C$25</f>
        <v>7</v>
      </c>
      <c r="I76" s="52" t="n">
        <f aca="false">Assumptions!$C$26</f>
        <v>0.08</v>
      </c>
      <c r="J76" s="52" t="n">
        <f aca="false">Assumptions!$C$27</f>
        <v>0.04</v>
      </c>
      <c r="K76" s="45" t="n">
        <f aca="false">Assumptions!$C$28</f>
        <v>11000</v>
      </c>
      <c r="L76" s="52" t="n">
        <f aca="false">Assumptions!$F$15</f>
        <v>0.08</v>
      </c>
      <c r="M76" s="41" t="n">
        <f aca="false">Assumptions!$F$16</f>
        <v>24</v>
      </c>
      <c r="N76" s="45" t="n">
        <f aca="false">Assumptions!$F$17</f>
        <v>4000</v>
      </c>
      <c r="O76" s="45" t="n">
        <f aca="false">Assumptions!$C$29</f>
        <v>900</v>
      </c>
      <c r="P76" s="45" t="n">
        <f aca="false">Assumptions!$C$30</f>
        <v>36000</v>
      </c>
      <c r="Q76" s="37" t="n">
        <f aca="false">Assumptions!$C$31</f>
        <v>14</v>
      </c>
      <c r="R76" s="45" t="n">
        <f aca="false">Assumptions!$C$32</f>
        <v>24000</v>
      </c>
      <c r="S76" s="52" t="n">
        <f aca="false">$S$43*(1+$C$4)</f>
        <v>0.022</v>
      </c>
      <c r="T76" s="21" t="n">
        <f aca="false">IF(Assumptions!$C$33="All except base pay",1,0)</f>
        <v>1</v>
      </c>
      <c r="U76" s="41" t="n">
        <f aca="false">SUM(Assumptions!$C$59:$C$70)*C76</f>
        <v>1480</v>
      </c>
      <c r="V76" s="41" t="n">
        <f aca="false">SUMPRODUCT(Assumptions!$C$59:$C$70*(Assumptions!$B$59:$B$70&gt;=G76))*C76</f>
        <v>1118</v>
      </c>
      <c r="W76" s="41" t="n">
        <f aca="false">SUMPRODUCT(Assumptions!$C$59:$C$70*(Assumptions!$B$59:$B$70&gt;=H76))*C76</f>
        <v>750</v>
      </c>
      <c r="X76" s="45" t="n">
        <f aca="false">B76/12*(U76+D76*F76*V76+E76*W76)</f>
        <v>10785912.0833333</v>
      </c>
      <c r="Y76" s="45" t="n">
        <f aca="false">X76*(1+I76+J76)+Assumptions!$C$50+K76*(1+L76)/12*U76</f>
        <v>13548323.1333333</v>
      </c>
      <c r="Z76" s="45" t="n">
        <f aca="false">M76*N76*Assumptions!$C$41+O76/12*U76+P76+Q76*U76+R76</f>
        <v>287720</v>
      </c>
      <c r="AA76" s="45" t="n">
        <f aca="false">Y76+Z76</f>
        <v>13836043.1333333</v>
      </c>
      <c r="AB76" s="45" t="n">
        <f aca="false">S76*(AA76-T76*X76)</f>
        <v>67102.8831</v>
      </c>
      <c r="AC76" s="29" t="n">
        <f aca="false">AA76+AB76</f>
        <v>13903146.0164333</v>
      </c>
    </row>
    <row r="77" customFormat="false" ht="15" hidden="false" customHeight="false" outlineLevel="0" collapsed="false">
      <c r="A77" s="44" t="s">
        <v>353</v>
      </c>
      <c r="B77" s="45" t="n">
        <f aca="false">Assumptions!$C$22</f>
        <v>85000</v>
      </c>
      <c r="C77" s="54" t="n">
        <f aca="false">1</f>
        <v>1</v>
      </c>
      <c r="D77" s="52" t="n">
        <f aca="false">Assumptions!$F$13</f>
        <v>0.035</v>
      </c>
      <c r="E77" s="52" t="n">
        <f aca="false">Assumptions!$F$14</f>
        <v>0.01</v>
      </c>
      <c r="F77" s="48" t="n">
        <f aca="false">Assumptions!$C$23</f>
        <v>0.9</v>
      </c>
      <c r="G77" s="21" t="n">
        <f aca="false">MAX(1,$G$43-$C$5)</f>
        <v>3</v>
      </c>
      <c r="H77" s="21" t="n">
        <f aca="false">Assumptions!$C$25</f>
        <v>7</v>
      </c>
      <c r="I77" s="52" t="n">
        <f aca="false">Assumptions!$C$26</f>
        <v>0.08</v>
      </c>
      <c r="J77" s="52" t="n">
        <f aca="false">Assumptions!$C$27</f>
        <v>0.04</v>
      </c>
      <c r="K77" s="45" t="n">
        <f aca="false">Assumptions!$C$28</f>
        <v>11000</v>
      </c>
      <c r="L77" s="52" t="n">
        <f aca="false">Assumptions!$F$15</f>
        <v>0.08</v>
      </c>
      <c r="M77" s="41" t="n">
        <f aca="false">Assumptions!$F$16</f>
        <v>24</v>
      </c>
      <c r="N77" s="45" t="n">
        <f aca="false">Assumptions!$F$17</f>
        <v>4000</v>
      </c>
      <c r="O77" s="45" t="n">
        <f aca="false">Assumptions!$C$29</f>
        <v>900</v>
      </c>
      <c r="P77" s="45" t="n">
        <f aca="false">Assumptions!$C$30</f>
        <v>36000</v>
      </c>
      <c r="Q77" s="37" t="n">
        <f aca="false">Assumptions!$C$31</f>
        <v>14</v>
      </c>
      <c r="R77" s="45" t="n">
        <f aca="false">Assumptions!$C$32</f>
        <v>24000</v>
      </c>
      <c r="S77" s="52" t="n">
        <f aca="false">Assumptions!$F$18</f>
        <v>0.02</v>
      </c>
      <c r="T77" s="21" t="n">
        <f aca="false">IF(Assumptions!$C$33="All except base pay",1,0)</f>
        <v>1</v>
      </c>
      <c r="U77" s="41" t="n">
        <f aca="false">SUM(Assumptions!$C$59:$C$70)*C77</f>
        <v>1480</v>
      </c>
      <c r="V77" s="41" t="n">
        <f aca="false">SUMPRODUCT(Assumptions!$C$59:$C$70*(Assumptions!$B$59:$B$70&gt;=G77))*C77</f>
        <v>1239</v>
      </c>
      <c r="W77" s="41" t="n">
        <f aca="false">SUMPRODUCT(Assumptions!$C$59:$C$70*(Assumptions!$B$59:$B$70&gt;=H77))*C77</f>
        <v>750</v>
      </c>
      <c r="X77" s="45" t="n">
        <f aca="false">B77/12*(U77+D77*F77*V77+E77*W77)</f>
        <v>10812910.2083333</v>
      </c>
      <c r="Y77" s="45" t="n">
        <f aca="false">X77*(1+I77+J77)+Assumptions!$C$50+K77*(1+L77)/12*U77</f>
        <v>13578561.0333333</v>
      </c>
      <c r="Z77" s="45" t="n">
        <f aca="false">M77*N77*Assumptions!$C$41+O77/12*U77+P77+Q77*U77+R77</f>
        <v>287720</v>
      </c>
      <c r="AA77" s="45" t="n">
        <f aca="false">Y77+Z77</f>
        <v>13866281.0333333</v>
      </c>
      <c r="AB77" s="45" t="n">
        <f aca="false">S77*(AA77-T77*X77)</f>
        <v>61067.4165</v>
      </c>
      <c r="AC77" s="29" t="n">
        <f aca="false">AA77+AB77</f>
        <v>13927348.4498333</v>
      </c>
    </row>
    <row r="78" customFormat="false" ht="15" hidden="false" customHeight="false" outlineLevel="0" collapsed="false">
      <c r="A78" s="44" t="s">
        <v>354</v>
      </c>
      <c r="B78" s="45" t="n">
        <f aca="false">Assumptions!$C$22</f>
        <v>85000</v>
      </c>
      <c r="C78" s="54" t="n">
        <f aca="false">1</f>
        <v>1</v>
      </c>
      <c r="D78" s="52" t="n">
        <f aca="false">Assumptions!$F$13</f>
        <v>0.035</v>
      </c>
      <c r="E78" s="52" t="n">
        <f aca="false">Assumptions!$F$14</f>
        <v>0.01</v>
      </c>
      <c r="F78" s="48" t="n">
        <f aca="false">Assumptions!$C$23</f>
        <v>0.9</v>
      </c>
      <c r="G78" s="21" t="n">
        <f aca="false">MIN(12,$G$43+$C$5)</f>
        <v>5</v>
      </c>
      <c r="H78" s="21" t="n">
        <f aca="false">Assumptions!$C$25</f>
        <v>7</v>
      </c>
      <c r="I78" s="52" t="n">
        <f aca="false">Assumptions!$C$26</f>
        <v>0.08</v>
      </c>
      <c r="J78" s="52" t="n">
        <f aca="false">Assumptions!$C$27</f>
        <v>0.04</v>
      </c>
      <c r="K78" s="45" t="n">
        <f aca="false">Assumptions!$C$28</f>
        <v>11000</v>
      </c>
      <c r="L78" s="52" t="n">
        <f aca="false">Assumptions!$F$15</f>
        <v>0.08</v>
      </c>
      <c r="M78" s="41" t="n">
        <f aca="false">Assumptions!$F$16</f>
        <v>24</v>
      </c>
      <c r="N78" s="45" t="n">
        <f aca="false">Assumptions!$F$17</f>
        <v>4000</v>
      </c>
      <c r="O78" s="45" t="n">
        <f aca="false">Assumptions!$C$29</f>
        <v>900</v>
      </c>
      <c r="P78" s="45" t="n">
        <f aca="false">Assumptions!$C$30</f>
        <v>36000</v>
      </c>
      <c r="Q78" s="37" t="n">
        <f aca="false">Assumptions!$C$31</f>
        <v>14</v>
      </c>
      <c r="R78" s="45" t="n">
        <f aca="false">Assumptions!$C$32</f>
        <v>24000</v>
      </c>
      <c r="S78" s="52" t="n">
        <f aca="false">Assumptions!$F$18</f>
        <v>0.02</v>
      </c>
      <c r="T78" s="21" t="n">
        <f aca="false">IF(Assumptions!$C$33="All except base pay",1,0)</f>
        <v>1</v>
      </c>
      <c r="U78" s="41" t="n">
        <f aca="false">SUM(Assumptions!$C$59:$C$70)*C78</f>
        <v>1480</v>
      </c>
      <c r="V78" s="41" t="n">
        <f aca="false">SUMPRODUCT(Assumptions!$C$59:$C$70*(Assumptions!$B$59:$B$70&gt;=G78))*C78</f>
        <v>996</v>
      </c>
      <c r="W78" s="41" t="n">
        <f aca="false">SUMPRODUCT(Assumptions!$C$59:$C$70*(Assumptions!$B$59:$B$70&gt;=H78))*C78</f>
        <v>750</v>
      </c>
      <c r="X78" s="45" t="n">
        <f aca="false">B78/12*(U78+D78*F78*V78+E78*W78)</f>
        <v>10758690.8333333</v>
      </c>
      <c r="Y78" s="45" t="n">
        <f aca="false">X78*(1+I78+J78)+Assumptions!$C$50+K78*(1+L78)/12*U78</f>
        <v>13517835.3333333</v>
      </c>
      <c r="Z78" s="45" t="n">
        <f aca="false">M78*N78*Assumptions!$C$41+O78/12*U78+P78+Q78*U78+R78</f>
        <v>287720</v>
      </c>
      <c r="AA78" s="45" t="n">
        <f aca="false">Y78+Z78</f>
        <v>13805555.3333333</v>
      </c>
      <c r="AB78" s="45" t="n">
        <f aca="false">S78*(AA78-T78*X78)</f>
        <v>60937.29</v>
      </c>
      <c r="AC78" s="29" t="n">
        <f aca="false">AA78+AB78</f>
        <v>13866492.6233333</v>
      </c>
    </row>
    <row r="79" customFormat="false" ht="15" hidden="false" customHeight="false" outlineLevel="0" collapsed="false">
      <c r="A79" s="44" t="s">
        <v>355</v>
      </c>
      <c r="B79" s="45" t="n">
        <f aca="false">Assumptions!$C$22</f>
        <v>85000</v>
      </c>
      <c r="C79" s="54" t="n">
        <f aca="false">1</f>
        <v>1</v>
      </c>
      <c r="D79" s="52" t="n">
        <f aca="false">$D$43+0.01</f>
        <v>0.045</v>
      </c>
      <c r="E79" s="52" t="n">
        <f aca="false">Assumptions!$F$14</f>
        <v>0.01</v>
      </c>
      <c r="F79" s="48" t="n">
        <f aca="false">Assumptions!$C$23</f>
        <v>0.9</v>
      </c>
      <c r="G79" s="21" t="n">
        <f aca="false">Assumptions!$C$24</f>
        <v>4</v>
      </c>
      <c r="H79" s="21" t="n">
        <f aca="false">Assumptions!$C$25</f>
        <v>7</v>
      </c>
      <c r="I79" s="52" t="n">
        <f aca="false">Assumptions!$C$26</f>
        <v>0.08</v>
      </c>
      <c r="J79" s="52" t="n">
        <f aca="false">Assumptions!$C$27</f>
        <v>0.04</v>
      </c>
      <c r="K79" s="45" t="n">
        <f aca="false">Assumptions!$C$28</f>
        <v>11000</v>
      </c>
      <c r="L79" s="52" t="n">
        <f aca="false">Assumptions!$F$15</f>
        <v>0.08</v>
      </c>
      <c r="M79" s="41" t="n">
        <f aca="false">Assumptions!$F$16</f>
        <v>24</v>
      </c>
      <c r="N79" s="45" t="n">
        <f aca="false">Assumptions!$F$17</f>
        <v>4000</v>
      </c>
      <c r="O79" s="45" t="n">
        <f aca="false">Assumptions!$C$29</f>
        <v>900</v>
      </c>
      <c r="P79" s="45" t="n">
        <f aca="false">Assumptions!$C$30</f>
        <v>36000</v>
      </c>
      <c r="Q79" s="37" t="n">
        <f aca="false">Assumptions!$C$31</f>
        <v>14</v>
      </c>
      <c r="R79" s="45" t="n">
        <f aca="false">Assumptions!$C$32</f>
        <v>24000</v>
      </c>
      <c r="S79" s="52" t="n">
        <f aca="false">Assumptions!$F$18</f>
        <v>0.02</v>
      </c>
      <c r="T79" s="21" t="n">
        <f aca="false">IF(Assumptions!$C$33="All except base pay",1,0)</f>
        <v>1</v>
      </c>
      <c r="U79" s="41" t="n">
        <f aca="false">SUM(Assumptions!$C$59:$C$70)*C79</f>
        <v>1480</v>
      </c>
      <c r="V79" s="41" t="n">
        <f aca="false">SUMPRODUCT(Assumptions!$C$59:$C$70*(Assumptions!$B$59:$B$70&gt;=G79))*C79</f>
        <v>1118</v>
      </c>
      <c r="W79" s="41" t="n">
        <f aca="false">SUMPRODUCT(Assumptions!$C$59:$C$70*(Assumptions!$B$59:$B$70&gt;=H79))*C79</f>
        <v>750</v>
      </c>
      <c r="X79" s="45" t="n">
        <f aca="false">B79/12*(U79+D79*F79*V79+E79*W79)</f>
        <v>10857184.5833333</v>
      </c>
      <c r="Y79" s="45" t="n">
        <f aca="false">X79*(1+I79+J79)+Assumptions!$C$50+K79*(1+L79)/12*U79</f>
        <v>13628148.3333333</v>
      </c>
      <c r="Z79" s="45" t="n">
        <f aca="false">M79*N79*Assumptions!$C$41+O79/12*U79+P79+Q79*U79+R79</f>
        <v>287720</v>
      </c>
      <c r="AA79" s="45" t="n">
        <f aca="false">Y79+Z79</f>
        <v>13915868.3333333</v>
      </c>
      <c r="AB79" s="45" t="n">
        <f aca="false">S79*(AA79-T79*X79)</f>
        <v>61173.675</v>
      </c>
      <c r="AC79" s="29" t="n">
        <f aca="false">AA79+AB79</f>
        <v>13977042.0083333</v>
      </c>
    </row>
    <row r="80" customFormat="false" ht="15" hidden="false" customHeight="false" outlineLevel="0" collapsed="false">
      <c r="A80" s="44" t="s">
        <v>356</v>
      </c>
      <c r="B80" s="45" t="n">
        <f aca="false">Assumptions!$C$22</f>
        <v>85000</v>
      </c>
      <c r="C80" s="54" t="n">
        <f aca="false">1</f>
        <v>1</v>
      </c>
      <c r="D80" s="52" t="n">
        <f aca="false">Assumptions!$F$13</f>
        <v>0.035</v>
      </c>
      <c r="E80" s="52" t="n">
        <f aca="false">$E$43+0.01</f>
        <v>0.02</v>
      </c>
      <c r="F80" s="48" t="n">
        <f aca="false">Assumptions!$C$23</f>
        <v>0.9</v>
      </c>
      <c r="G80" s="21" t="n">
        <f aca="false">Assumptions!$C$24</f>
        <v>4</v>
      </c>
      <c r="H80" s="21" t="n">
        <f aca="false">Assumptions!$C$25</f>
        <v>7</v>
      </c>
      <c r="I80" s="52" t="n">
        <f aca="false">Assumptions!$C$26</f>
        <v>0.08</v>
      </c>
      <c r="J80" s="52" t="n">
        <f aca="false">Assumptions!$C$27</f>
        <v>0.04</v>
      </c>
      <c r="K80" s="45" t="n">
        <f aca="false">Assumptions!$C$28</f>
        <v>11000</v>
      </c>
      <c r="L80" s="52" t="n">
        <f aca="false">Assumptions!$F$15</f>
        <v>0.08</v>
      </c>
      <c r="M80" s="41" t="n">
        <f aca="false">Assumptions!$F$16</f>
        <v>24</v>
      </c>
      <c r="N80" s="45" t="n">
        <f aca="false">Assumptions!$F$17</f>
        <v>4000</v>
      </c>
      <c r="O80" s="45" t="n">
        <f aca="false">Assumptions!$C$29</f>
        <v>900</v>
      </c>
      <c r="P80" s="45" t="n">
        <f aca="false">Assumptions!$C$30</f>
        <v>36000</v>
      </c>
      <c r="Q80" s="37" t="n">
        <f aca="false">Assumptions!$C$31</f>
        <v>14</v>
      </c>
      <c r="R80" s="45" t="n">
        <f aca="false">Assumptions!$C$32</f>
        <v>24000</v>
      </c>
      <c r="S80" s="52" t="n">
        <f aca="false">Assumptions!$F$18</f>
        <v>0.02</v>
      </c>
      <c r="T80" s="21" t="n">
        <f aca="false">IF(Assumptions!$C$33="All except base pay",1,0)</f>
        <v>1</v>
      </c>
      <c r="U80" s="41" t="n">
        <f aca="false">SUM(Assumptions!$C$59:$C$70)*C80</f>
        <v>1480</v>
      </c>
      <c r="V80" s="41" t="n">
        <f aca="false">SUMPRODUCT(Assumptions!$C$59:$C$70*(Assumptions!$B$59:$B$70&gt;=G80))*C80</f>
        <v>1118</v>
      </c>
      <c r="W80" s="41" t="n">
        <f aca="false">SUMPRODUCT(Assumptions!$C$59:$C$70*(Assumptions!$B$59:$B$70&gt;=H80))*C80</f>
        <v>750</v>
      </c>
      <c r="X80" s="45" t="n">
        <f aca="false">B80/12*(U80+D80*F80*V80+E80*W80)</f>
        <v>10839037.0833333</v>
      </c>
      <c r="Y80" s="45" t="n">
        <f aca="false">X80*(1+I80+J80)+Assumptions!$C$50+K80*(1+L80)/12*U80</f>
        <v>13607823.1333333</v>
      </c>
      <c r="Z80" s="45" t="n">
        <f aca="false">M80*N80*Assumptions!$C$41+O80/12*U80+P80+Q80*U80+R80</f>
        <v>287720</v>
      </c>
      <c r="AA80" s="45" t="n">
        <f aca="false">Y80+Z80</f>
        <v>13895543.1333333</v>
      </c>
      <c r="AB80" s="45" t="n">
        <f aca="false">S80*(AA80-T80*X80)</f>
        <v>61130.121</v>
      </c>
      <c r="AC80" s="29" t="n">
        <f aca="false">AA80+AB80</f>
        <v>13956673.2543333</v>
      </c>
    </row>
    <row r="81" customFormat="false" ht="15" hidden="false" customHeight="false" outlineLevel="0" collapsed="false">
      <c r="A81" s="44" t="s">
        <v>357</v>
      </c>
      <c r="B81" s="45" t="n">
        <f aca="false">Assumptions!$C$22</f>
        <v>85000</v>
      </c>
      <c r="C81" s="54" t="n">
        <f aca="false">1</f>
        <v>1</v>
      </c>
      <c r="D81" s="52" t="n">
        <f aca="false">Assumptions!$F$13</f>
        <v>0.035</v>
      </c>
      <c r="E81" s="52" t="n">
        <f aca="false">Assumptions!$F$14</f>
        <v>0.01</v>
      </c>
      <c r="F81" s="48" t="n">
        <f aca="false">Assumptions!$C$23</f>
        <v>0.9</v>
      </c>
      <c r="G81" s="21" t="n">
        <f aca="false">Assumptions!$C$24</f>
        <v>4</v>
      </c>
      <c r="H81" s="21" t="n">
        <f aca="false">Assumptions!$C$25</f>
        <v>7</v>
      </c>
      <c r="I81" s="52" t="n">
        <f aca="false">Assumptions!$C$26</f>
        <v>0.08</v>
      </c>
      <c r="J81" s="52" t="n">
        <f aca="false">Assumptions!$C$27</f>
        <v>0.04</v>
      </c>
      <c r="K81" s="45" t="n">
        <f aca="false">Assumptions!$C$28</f>
        <v>11000</v>
      </c>
      <c r="L81" s="52" t="n">
        <f aca="false">$L$43+0.01</f>
        <v>0.09</v>
      </c>
      <c r="M81" s="41" t="n">
        <f aca="false">Assumptions!$F$16</f>
        <v>24</v>
      </c>
      <c r="N81" s="45" t="n">
        <f aca="false">Assumptions!$F$17</f>
        <v>4000</v>
      </c>
      <c r="O81" s="45" t="n">
        <f aca="false">Assumptions!$C$29</f>
        <v>900</v>
      </c>
      <c r="P81" s="45" t="n">
        <f aca="false">Assumptions!$C$30</f>
        <v>36000</v>
      </c>
      <c r="Q81" s="37" t="n">
        <f aca="false">Assumptions!$C$31</f>
        <v>14</v>
      </c>
      <c r="R81" s="45" t="n">
        <f aca="false">Assumptions!$C$32</f>
        <v>24000</v>
      </c>
      <c r="S81" s="52" t="n">
        <f aca="false">Assumptions!$F$18</f>
        <v>0.02</v>
      </c>
      <c r="T81" s="21" t="n">
        <f aca="false">IF(Assumptions!$C$33="All except base pay",1,0)</f>
        <v>1</v>
      </c>
      <c r="U81" s="41" t="n">
        <f aca="false">SUM(Assumptions!$C$59:$C$70)*C81</f>
        <v>1480</v>
      </c>
      <c r="V81" s="41" t="n">
        <f aca="false">SUMPRODUCT(Assumptions!$C$59:$C$70*(Assumptions!$B$59:$B$70&gt;=G81))*C81</f>
        <v>1118</v>
      </c>
      <c r="W81" s="41" t="n">
        <f aca="false">SUMPRODUCT(Assumptions!$C$59:$C$70*(Assumptions!$B$59:$B$70&gt;=H81))*C81</f>
        <v>750</v>
      </c>
      <c r="X81" s="45" t="n">
        <f aca="false">B81/12*(U81+D81*F81*V81+E81*W81)</f>
        <v>10785912.0833333</v>
      </c>
      <c r="Y81" s="45" t="n">
        <f aca="false">X81*(1+I81+J81)+Assumptions!$C$50+K81*(1+L81)/12*U81</f>
        <v>13561889.8</v>
      </c>
      <c r="Z81" s="45" t="n">
        <f aca="false">M81*N81*Assumptions!$C$41+O81/12*U81+P81+Q81*U81+R81</f>
        <v>287720</v>
      </c>
      <c r="AA81" s="45" t="n">
        <f aca="false">Y81+Z81</f>
        <v>13849609.8</v>
      </c>
      <c r="AB81" s="45" t="n">
        <f aca="false">S81*(AA81-T81*X81)</f>
        <v>61273.9543333333</v>
      </c>
      <c r="AC81" s="29" t="n">
        <f aca="false">AA81+AB81</f>
        <v>13910883.7543333</v>
      </c>
    </row>
    <row r="82" customFormat="false" ht="15" hidden="false" customHeight="false" outlineLevel="0" collapsed="false">
      <c r="A82" s="44" t="s">
        <v>358</v>
      </c>
      <c r="B82" s="45" t="n">
        <f aca="false">Assumptions!$C$22</f>
        <v>85000</v>
      </c>
      <c r="C82" s="54" t="n">
        <f aca="false">1</f>
        <v>1</v>
      </c>
      <c r="D82" s="52" t="n">
        <f aca="false">Assumptions!$F$13</f>
        <v>0.035</v>
      </c>
      <c r="E82" s="52" t="n">
        <f aca="false">Assumptions!$F$14</f>
        <v>0.01</v>
      </c>
      <c r="F82" s="48" t="n">
        <f aca="false">Assumptions!$C$23</f>
        <v>0.9</v>
      </c>
      <c r="G82" s="21" t="n">
        <f aca="false">Assumptions!$C$24</f>
        <v>4</v>
      </c>
      <c r="H82" s="21" t="n">
        <f aca="false">Assumptions!$C$25</f>
        <v>7</v>
      </c>
      <c r="I82" s="52" t="n">
        <f aca="false">$I$43+0.01</f>
        <v>0.09</v>
      </c>
      <c r="J82" s="52" t="n">
        <f aca="false">Assumptions!$C$27</f>
        <v>0.04</v>
      </c>
      <c r="K82" s="45" t="n">
        <f aca="false">Assumptions!$C$28</f>
        <v>11000</v>
      </c>
      <c r="L82" s="52" t="n">
        <f aca="false">Assumptions!$F$15</f>
        <v>0.08</v>
      </c>
      <c r="M82" s="41" t="n">
        <f aca="false">Assumptions!$F$16</f>
        <v>24</v>
      </c>
      <c r="N82" s="45" t="n">
        <f aca="false">Assumptions!$F$17</f>
        <v>4000</v>
      </c>
      <c r="O82" s="45" t="n">
        <f aca="false">Assumptions!$C$29</f>
        <v>900</v>
      </c>
      <c r="P82" s="45" t="n">
        <f aca="false">Assumptions!$C$30</f>
        <v>36000</v>
      </c>
      <c r="Q82" s="37" t="n">
        <f aca="false">Assumptions!$C$31</f>
        <v>14</v>
      </c>
      <c r="R82" s="45" t="n">
        <f aca="false">Assumptions!$C$32</f>
        <v>24000</v>
      </c>
      <c r="S82" s="52" t="n">
        <f aca="false">Assumptions!$F$18</f>
        <v>0.02</v>
      </c>
      <c r="T82" s="21" t="n">
        <f aca="false">IF(Assumptions!$C$33="All except base pay",1,0)</f>
        <v>1</v>
      </c>
      <c r="U82" s="41" t="n">
        <f aca="false">SUM(Assumptions!$C$59:$C$70)*C82</f>
        <v>1480</v>
      </c>
      <c r="V82" s="41" t="n">
        <f aca="false">SUMPRODUCT(Assumptions!$C$59:$C$70*(Assumptions!$B$59:$B$70&gt;=G82))*C82</f>
        <v>1118</v>
      </c>
      <c r="W82" s="41" t="n">
        <f aca="false">SUMPRODUCT(Assumptions!$C$59:$C$70*(Assumptions!$B$59:$B$70&gt;=H82))*C82</f>
        <v>750</v>
      </c>
      <c r="X82" s="45" t="n">
        <f aca="false">B82/12*(U82+D82*F82*V82+E82*W82)</f>
        <v>10785912.0833333</v>
      </c>
      <c r="Y82" s="45" t="n">
        <f aca="false">X82*(1+I82+J82)+Assumptions!$C$50+K82*(1+L82)/12*U82</f>
        <v>13656182.2541667</v>
      </c>
      <c r="Z82" s="45" t="n">
        <f aca="false">M82*N82*Assumptions!$C$41+O82/12*U82+P82+Q82*U82+R82</f>
        <v>287720</v>
      </c>
      <c r="AA82" s="45" t="n">
        <f aca="false">Y82+Z82</f>
        <v>13943902.2541667</v>
      </c>
      <c r="AB82" s="45" t="n">
        <f aca="false">S82*(AA82-T82*X82)</f>
        <v>63159.8034166667</v>
      </c>
      <c r="AC82" s="29" t="n">
        <f aca="false">AA82+AB82</f>
        <v>14007062.0575833</v>
      </c>
    </row>
    <row r="83" customFormat="false" ht="15" hidden="false" customHeight="false" outlineLevel="0" collapsed="false">
      <c r="A83" s="44" t="s">
        <v>359</v>
      </c>
      <c r="B83" s="45" t="n">
        <f aca="false">Assumptions!$C$22</f>
        <v>85000</v>
      </c>
      <c r="C83" s="54" t="n">
        <f aca="false">1</f>
        <v>1</v>
      </c>
      <c r="D83" s="52" t="n">
        <f aca="false">Assumptions!$F$13</f>
        <v>0.035</v>
      </c>
      <c r="E83" s="52" t="n">
        <f aca="false">Assumptions!$F$14</f>
        <v>0.01</v>
      </c>
      <c r="F83" s="48" t="n">
        <f aca="false">Assumptions!$C$23</f>
        <v>0.9</v>
      </c>
      <c r="G83" s="21" t="n">
        <f aca="false">Assumptions!$C$24</f>
        <v>4</v>
      </c>
      <c r="H83" s="21" t="n">
        <f aca="false">Assumptions!$C$25</f>
        <v>7</v>
      </c>
      <c r="I83" s="52" t="n">
        <f aca="false">Assumptions!$C$26</f>
        <v>0.08</v>
      </c>
      <c r="J83" s="52" t="n">
        <f aca="false">$J$43+0.01</f>
        <v>0.05</v>
      </c>
      <c r="K83" s="45" t="n">
        <f aca="false">Assumptions!$C$28</f>
        <v>11000</v>
      </c>
      <c r="L83" s="52" t="n">
        <f aca="false">Assumptions!$F$15</f>
        <v>0.08</v>
      </c>
      <c r="M83" s="41" t="n">
        <f aca="false">Assumptions!$F$16</f>
        <v>24</v>
      </c>
      <c r="N83" s="45" t="n">
        <f aca="false">Assumptions!$F$17</f>
        <v>4000</v>
      </c>
      <c r="O83" s="45" t="n">
        <f aca="false">Assumptions!$C$29</f>
        <v>900</v>
      </c>
      <c r="P83" s="45" t="n">
        <f aca="false">Assumptions!$C$30</f>
        <v>36000</v>
      </c>
      <c r="Q83" s="37" t="n">
        <f aca="false">Assumptions!$C$31</f>
        <v>14</v>
      </c>
      <c r="R83" s="45" t="n">
        <f aca="false">Assumptions!$C$32</f>
        <v>24000</v>
      </c>
      <c r="S83" s="52" t="n">
        <f aca="false">Assumptions!$F$18</f>
        <v>0.02</v>
      </c>
      <c r="T83" s="21" t="n">
        <f aca="false">IF(Assumptions!$C$33="All except base pay",1,0)</f>
        <v>1</v>
      </c>
      <c r="U83" s="41" t="n">
        <f aca="false">SUM(Assumptions!$C$59:$C$70)*C83</f>
        <v>1480</v>
      </c>
      <c r="V83" s="41" t="n">
        <f aca="false">SUMPRODUCT(Assumptions!$C$59:$C$70*(Assumptions!$B$59:$B$70&gt;=G83))*C83</f>
        <v>1118</v>
      </c>
      <c r="W83" s="41" t="n">
        <f aca="false">SUMPRODUCT(Assumptions!$C$59:$C$70*(Assumptions!$B$59:$B$70&gt;=H83))*C83</f>
        <v>750</v>
      </c>
      <c r="X83" s="45" t="n">
        <f aca="false">B83/12*(U83+D83*F83*V83+E83*W83)</f>
        <v>10785912.0833333</v>
      </c>
      <c r="Y83" s="45" t="n">
        <f aca="false">X83*(1+I83+J83)+Assumptions!$C$50+K83*(1+L83)/12*U83</f>
        <v>13656182.2541667</v>
      </c>
      <c r="Z83" s="45" t="n">
        <f aca="false">M83*N83*Assumptions!$C$41+O83/12*U83+P83+Q83*U83+R83</f>
        <v>287720</v>
      </c>
      <c r="AA83" s="45" t="n">
        <f aca="false">Y83+Z83</f>
        <v>13943902.2541667</v>
      </c>
      <c r="AB83" s="45" t="n">
        <f aca="false">S83*(AA83-T83*X83)</f>
        <v>63159.8034166667</v>
      </c>
      <c r="AC83" s="29" t="n">
        <f aca="false">AA83+AB83</f>
        <v>14007062.0575833</v>
      </c>
    </row>
    <row r="84" customFormat="false" ht="15" hidden="false" customHeight="false" outlineLevel="0" collapsed="false">
      <c r="A84" s="44" t="s">
        <v>360</v>
      </c>
      <c r="B84" s="45" t="n">
        <f aca="false">Assumptions!$C$22</f>
        <v>85000</v>
      </c>
      <c r="C84" s="54" t="n">
        <f aca="false">1</f>
        <v>1</v>
      </c>
      <c r="D84" s="52" t="n">
        <f aca="false">Assumptions!$F$13</f>
        <v>0.035</v>
      </c>
      <c r="E84" s="52" t="n">
        <f aca="false">Assumptions!$F$14</f>
        <v>0.01</v>
      </c>
      <c r="F84" s="48" t="n">
        <f aca="false">Assumptions!$C$23</f>
        <v>0.9</v>
      </c>
      <c r="G84" s="21" t="n">
        <f aca="false">Assumptions!$C$24</f>
        <v>4</v>
      </c>
      <c r="H84" s="21" t="n">
        <f aca="false">Assumptions!$C$25</f>
        <v>7</v>
      </c>
      <c r="I84" s="52" t="n">
        <f aca="false">Assumptions!$C$26</f>
        <v>0.08</v>
      </c>
      <c r="J84" s="52" t="n">
        <f aca="false">Assumptions!$C$27</f>
        <v>0.04</v>
      </c>
      <c r="K84" s="45" t="n">
        <f aca="false">Assumptions!$C$28</f>
        <v>11000</v>
      </c>
      <c r="L84" s="52" t="n">
        <f aca="false">Assumptions!$F$15</f>
        <v>0.08</v>
      </c>
      <c r="M84" s="41" t="n">
        <f aca="false">Assumptions!$F$16</f>
        <v>24</v>
      </c>
      <c r="N84" s="45" t="n">
        <f aca="false">Assumptions!$F$17</f>
        <v>4000</v>
      </c>
      <c r="O84" s="45" t="n">
        <f aca="false">Assumptions!$C$29</f>
        <v>900</v>
      </c>
      <c r="P84" s="45" t="n">
        <f aca="false">Assumptions!$C$30</f>
        <v>36000</v>
      </c>
      <c r="Q84" s="37" t="n">
        <f aca="false">Assumptions!$C$31</f>
        <v>14</v>
      </c>
      <c r="R84" s="45" t="n">
        <f aca="false">Assumptions!$C$32</f>
        <v>24000</v>
      </c>
      <c r="S84" s="52" t="n">
        <f aca="false">$S$43+0.01</f>
        <v>0.03</v>
      </c>
      <c r="T84" s="21" t="n">
        <f aca="false">IF(Assumptions!$C$33="All except base pay",1,0)</f>
        <v>1</v>
      </c>
      <c r="U84" s="41" t="n">
        <f aca="false">SUM(Assumptions!$C$59:$C$70)*C84</f>
        <v>1480</v>
      </c>
      <c r="V84" s="41" t="n">
        <f aca="false">SUMPRODUCT(Assumptions!$C$59:$C$70*(Assumptions!$B$59:$B$70&gt;=G84))*C84</f>
        <v>1118</v>
      </c>
      <c r="W84" s="41" t="n">
        <f aca="false">SUMPRODUCT(Assumptions!$C$59:$C$70*(Assumptions!$B$59:$B$70&gt;=H84))*C84</f>
        <v>750</v>
      </c>
      <c r="X84" s="45" t="n">
        <f aca="false">B84/12*(U84+D84*F84*V84+E84*W84)</f>
        <v>10785912.0833333</v>
      </c>
      <c r="Y84" s="45" t="n">
        <f aca="false">X84*(1+I84+J84)+Assumptions!$C$50+K84*(1+L84)/12*U84</f>
        <v>13548323.1333333</v>
      </c>
      <c r="Z84" s="45" t="n">
        <f aca="false">M84*N84*Assumptions!$C$41+O84/12*U84+P84+Q84*U84+R84</f>
        <v>287720</v>
      </c>
      <c r="AA84" s="45" t="n">
        <f aca="false">Y84+Z84</f>
        <v>13836043.1333333</v>
      </c>
      <c r="AB84" s="45" t="n">
        <f aca="false">S84*(AA84-T84*X84)</f>
        <v>91503.9315</v>
      </c>
      <c r="AC84" s="29" t="n">
        <f aca="false">AA84+AB84</f>
        <v>13927547.0648333</v>
      </c>
    </row>
    <row r="85" customFormat="false" ht="15" hidden="false" customHeight="false" outlineLevel="0" collapsed="false">
      <c r="A85" s="44" t="s">
        <v>361</v>
      </c>
      <c r="B85" s="45" t="n">
        <f aca="false">Assumptions!$C$22</f>
        <v>85000</v>
      </c>
      <c r="C85" s="54" t="n">
        <f aca="false">1</f>
        <v>1</v>
      </c>
      <c r="D85" s="52" t="n">
        <f aca="false">Assumptions!$F$13</f>
        <v>0.035</v>
      </c>
      <c r="E85" s="52" t="n">
        <f aca="false">Assumptions!$F$14</f>
        <v>0.01</v>
      </c>
      <c r="F85" s="48" t="n">
        <f aca="false">Assumptions!$C$23</f>
        <v>0.9</v>
      </c>
      <c r="G85" s="21" t="n">
        <f aca="false">Assumptions!$C$24</f>
        <v>4</v>
      </c>
      <c r="H85" s="21" t="n">
        <f aca="false">Assumptions!$C$25</f>
        <v>7</v>
      </c>
      <c r="I85" s="52" t="n">
        <f aca="false">Assumptions!$C$26</f>
        <v>0.08</v>
      </c>
      <c r="J85" s="52" t="n">
        <f aca="false">Assumptions!$C$27</f>
        <v>0.04</v>
      </c>
      <c r="K85" s="45" t="n">
        <f aca="false">Assumptions!$C$28</f>
        <v>11000</v>
      </c>
      <c r="L85" s="52" t="n">
        <f aca="false">Assumptions!$F$15</f>
        <v>0.08</v>
      </c>
      <c r="M85" s="41" t="n">
        <f aca="false">$M$43+1</f>
        <v>25</v>
      </c>
      <c r="N85" s="45" t="n">
        <f aca="false">Assumptions!$F$17</f>
        <v>4000</v>
      </c>
      <c r="O85" s="45" t="n">
        <f aca="false">Assumptions!$C$29</f>
        <v>900</v>
      </c>
      <c r="P85" s="45" t="n">
        <f aca="false">Assumptions!$C$30</f>
        <v>36000</v>
      </c>
      <c r="Q85" s="37" t="n">
        <f aca="false">Assumptions!$C$31</f>
        <v>14</v>
      </c>
      <c r="R85" s="45" t="n">
        <f aca="false">Assumptions!$C$32</f>
        <v>24000</v>
      </c>
      <c r="S85" s="52" t="n">
        <f aca="false">Assumptions!$F$18</f>
        <v>0.02</v>
      </c>
      <c r="T85" s="21" t="n">
        <f aca="false">IF(Assumptions!$C$33="All except base pay",1,0)</f>
        <v>1</v>
      </c>
      <c r="U85" s="41" t="n">
        <f aca="false">SUM(Assumptions!$C$59:$C$70)*C85</f>
        <v>1480</v>
      </c>
      <c r="V85" s="41" t="n">
        <f aca="false">SUMPRODUCT(Assumptions!$C$59:$C$70*(Assumptions!$B$59:$B$70&gt;=G85))*C85</f>
        <v>1118</v>
      </c>
      <c r="W85" s="41" t="n">
        <f aca="false">SUMPRODUCT(Assumptions!$C$59:$C$70*(Assumptions!$B$59:$B$70&gt;=H85))*C85</f>
        <v>750</v>
      </c>
      <c r="X85" s="45" t="n">
        <f aca="false">B85/12*(U85+D85*F85*V85+E85*W85)</f>
        <v>10785912.0833333</v>
      </c>
      <c r="Y85" s="45" t="n">
        <f aca="false">X85*(1+I85+J85)+Assumptions!$C$50+K85*(1+L85)/12*U85</f>
        <v>13548323.1333333</v>
      </c>
      <c r="Z85" s="45" t="n">
        <f aca="false">M85*N85*Assumptions!$C$41+O85/12*U85+P85+Q85*U85+R85</f>
        <v>291720</v>
      </c>
      <c r="AA85" s="45" t="n">
        <f aca="false">Y85+Z85</f>
        <v>13840043.1333333</v>
      </c>
      <c r="AB85" s="45" t="n">
        <f aca="false">S85*(AA85-T85*X85)</f>
        <v>61082.621</v>
      </c>
      <c r="AC85" s="29" t="n">
        <f aca="false">AA85+AB85</f>
        <v>13901125.7543333</v>
      </c>
    </row>
  </sheetData>
  <mergeCells count="4">
    <mergeCell ref="A2:K2"/>
    <mergeCell ref="D4:K4"/>
    <mergeCell ref="D5:K5"/>
    <mergeCell ref="A37:K37"/>
  </mergeCells>
  <conditionalFormatting sqref="C4:C5">
    <cfRule type="expression" priority="2" aboveAverage="0" equalAverage="0" bottom="0" percent="0" rank="0" text="" dxfId="0">
      <formula>ISTEXT(C4)</formula>
    </cfRule>
  </conditionalFormatting>
  <dataValidations count="2">
    <dataValidation allowBlank="true" error="Enter a percentage between 0% and 100%." errorStyle="stop" errorTitle="Test size" operator="between" prompt="Enter a percentage between 0% and 100%." promptTitle="Test size" showDropDown="false" showErrorMessage="true" showInputMessage="true" sqref="C4" type="decimal">
      <formula1>0</formula1>
      <formula2>1</formula2>
    </dataValidation>
    <dataValidation allowBlank="false" error="Enter a whole number of months from 0 to 11." errorStyle="stop" errorTitle="Months" operator="between" prompt="Enter a whole number of months from 0 to 11." promptTitle="Months" showDropDown="false" showErrorMessage="true" showInputMessage="true" sqref="C5" type="whole">
      <formula1>0</formula1>
      <formula2>11</formula2>
    </dataValidation>
  </dataValidations>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0"/>
    <col collapsed="false" customWidth="true" hidden="false" outlineLevel="0" max="3" min="3" style="0" width="16"/>
    <col collapsed="false" customWidth="true" hidden="false" outlineLevel="0" max="4" min="4" style="0" width="12"/>
    <col collapsed="false" customWidth="true" hidden="false" outlineLevel="0" max="5" min="5" style="0" width="70"/>
  </cols>
  <sheetData>
    <row r="1" customFormat="false" ht="25.5" hidden="false" customHeight="true" outlineLevel="0" collapsed="false">
      <c r="A1" s="1" t="s">
        <v>50</v>
      </c>
    </row>
    <row r="2" customFormat="false" ht="15" hidden="false" customHeight="false" outlineLevel="0" collapsed="false">
      <c r="A2" s="42" t="s">
        <v>362</v>
      </c>
    </row>
    <row r="3" customFormat="false" ht="15" hidden="false" customHeight="false" outlineLevel="0" collapsed="false">
      <c r="A3" s="34" t="s">
        <v>363</v>
      </c>
      <c r="C3" s="55" t="n">
        <f aca="false">COUNTIF(D7:D40,"CHECK")+SUMPRODUCT(--ISERROR(D7:D40))</f>
        <v>0</v>
      </c>
    </row>
    <row r="4" customFormat="false" ht="15" hidden="false" customHeight="false" outlineLevel="0" collapsed="false">
      <c r="A4" s="34" t="s">
        <v>364</v>
      </c>
      <c r="C4" s="56" t="str">
        <f aca="false">IF(C3=0,"ALL OK",C3&amp;" FAILING")</f>
        <v>ALL OK</v>
      </c>
    </row>
    <row r="6" customFormat="false" ht="24" hidden="false" customHeight="true" outlineLevel="0" collapsed="false">
      <c r="A6" s="22" t="s">
        <v>365</v>
      </c>
      <c r="B6" s="23" t="s">
        <v>366</v>
      </c>
      <c r="C6" s="23" t="s">
        <v>108</v>
      </c>
      <c r="D6" s="23" t="s">
        <v>367</v>
      </c>
      <c r="E6" s="23" t="s">
        <v>368</v>
      </c>
    </row>
    <row r="7" customFormat="false" ht="31.5" hidden="false" customHeight="true" outlineLevel="0" collapsed="false">
      <c r="A7" s="57" t="n">
        <v>1</v>
      </c>
      <c r="B7" s="58" t="s">
        <v>369</v>
      </c>
      <c r="C7" s="59" t="str">
        <f aca="false">Assumptions!C7</f>
        <v>Base</v>
      </c>
      <c r="D7" s="60" t="str">
        <f aca="false">IF(OR(Assumptions!C7="Low",Assumptions!C7="Base",Assumptions!C7="High"),"OK","CHECK")</f>
        <v>OK</v>
      </c>
      <c r="E7" s="61" t="s">
        <v>370</v>
      </c>
    </row>
    <row r="8" customFormat="false" ht="31.5" hidden="false" customHeight="true" outlineLevel="0" collapsed="false">
      <c r="A8" s="57" t="n">
        <v>2</v>
      </c>
      <c r="B8" s="58" t="s">
        <v>371</v>
      </c>
      <c r="C8" s="59" t="str">
        <f aca="false">(COUNT(Assumptions!C8)+COUNT(Assumptions!C13:E18)+COUNT(Assumptions!C22:C32)+COUNT(Assumptions!C37:C40)+COUNT(Assumptions!C45)+COUNT(Assumptions!C59:C70))&amp;" of 47"</f>
        <v>47 of 47</v>
      </c>
      <c r="D8" s="60" t="str">
        <f aca="false">IF(COUNT(Assumptions!C8)+COUNT(Assumptions!C13:E18)+COUNT(Assumptions!C22:C32)+COUNT(Assumptions!C37:C40)+COUNT(Assumptions!C45)+COUNT(Assumptions!C59:C70)=47,"OK","CHECK")</f>
        <v>OK</v>
      </c>
      <c r="E8" s="61" t="s">
        <v>372</v>
      </c>
    </row>
    <row r="9" customFormat="false" ht="31.5" hidden="false" customHeight="true" outlineLevel="0" collapsed="false">
      <c r="A9" s="57" t="n">
        <v>3</v>
      </c>
      <c r="B9" s="58" t="s">
        <v>373</v>
      </c>
      <c r="C9" s="59" t="str">
        <f aca="false">Assumptions!C33</f>
        <v>All except base pay</v>
      </c>
      <c r="D9" s="60" t="str">
        <f aca="false">IF(OR(Assumptions!C33="All cost lines",Assumptions!C33="All except base pay"),"OK","CHECK")</f>
        <v>OK</v>
      </c>
      <c r="E9" s="61" t="s">
        <v>374</v>
      </c>
    </row>
    <row r="10" customFormat="false" ht="31.5" hidden="false" customHeight="true" outlineLevel="0" collapsed="false">
      <c r="A10" s="57" t="n">
        <v>4</v>
      </c>
      <c r="B10" s="58" t="s">
        <v>375</v>
      </c>
      <c r="C10" s="59" t="n">
        <f aca="false">Assumptions!C22</f>
        <v>85000</v>
      </c>
      <c r="D10" s="60" t="str">
        <f aca="false">IF(Assumptions!C22&gt;0,"OK","CHECK")</f>
        <v>OK</v>
      </c>
      <c r="E10" s="61" t="s">
        <v>376</v>
      </c>
    </row>
    <row r="11" customFormat="false" ht="31.5" hidden="false" customHeight="true" outlineLevel="0" collapsed="false">
      <c r="A11" s="57" t="n">
        <v>5</v>
      </c>
      <c r="B11" s="58" t="s">
        <v>377</v>
      </c>
      <c r="C11" s="59" t="n">
        <f aca="false">MIN(Assumptions!C8,Assumptions!C16:E17,Assumptions!C28:C32,Assumptions!C45,Assumptions!C47:C48,Assumptions!C54,Assumptions!C59:C70)</f>
        <v>6</v>
      </c>
      <c r="D11" s="60" t="str">
        <f aca="false">IF(MIN(Assumptions!C8,Assumptions!C16:E17,Assumptions!C28:C32,Assumptions!C45,Assumptions!C47:C48,Assumptions!C54,Assumptions!C59:C70)&gt;=0,"OK","CHECK")</f>
        <v>OK</v>
      </c>
      <c r="E11" s="61" t="s">
        <v>378</v>
      </c>
    </row>
    <row r="12" customFormat="false" ht="31.5" hidden="false" customHeight="true" outlineLevel="0" collapsed="false">
      <c r="A12" s="57" t="n">
        <v>6</v>
      </c>
      <c r="B12" s="58" t="s">
        <v>379</v>
      </c>
      <c r="C12" s="59" t="str">
        <f aca="false">Assumptions!C24&amp;" / "&amp;Assumptions!C25</f>
        <v>4 / 7</v>
      </c>
      <c r="D12" s="60" t="str">
        <f aca="false">IF(AND(Assumptions!C24=INT(Assumptions!C24),Assumptions!C24&gt;=1,Assumptions!C24&lt;=12,Assumptions!C25=INT(Assumptions!C25),Assumptions!C25&gt;=1,Assumptions!C25&lt;=12),"OK","CHECK")</f>
        <v>OK</v>
      </c>
      <c r="E12" s="61" t="s">
        <v>380</v>
      </c>
    </row>
    <row r="13" customFormat="false" ht="31.5" hidden="false" customHeight="true" outlineLevel="0" collapsed="false">
      <c r="A13" s="57" t="n">
        <v>7</v>
      </c>
      <c r="B13" s="58" t="s">
        <v>381</v>
      </c>
      <c r="C13" s="59" t="str">
        <f aca="false">TEXT(MAX(Assumptions!C13:E14,Assumptions!C18:E18,Assumptions!C23,Assumptions!C26,Assumptions!C27,Assumptions!C37:C40,Assumptions!C46,Assumptions!C55),"0.0%")&amp;" highest"</f>
        <v>90.0% highest</v>
      </c>
      <c r="D13" s="60" t="str">
        <f aca="false">IF(AND(MIN(Assumptions!C13:E14,Assumptions!C18:E18,Assumptions!C23,Assumptions!C26,Assumptions!C27,Assumptions!C37:C40,Assumptions!C46,Assumptions!C55)&gt;=0,MAX(Assumptions!C13:E14,Assumptions!C18:E18,Assumptions!C23,Assumptions!C26,Assumptions!C27,Assumptions!C37:C40,Assumptions!C46,Assumptions!C55)&lt;=1,MIN(Assumptions!C15:E15)&gt;=-0.5,MAX(Assumptions!C15:E15)&lt;=1,COUNTA(Assumptions!C46,Assumptions!C55)=COUNT(Assumptions!C46,Assumptions!C55)),"OK","CHECK")</f>
        <v>OK</v>
      </c>
      <c r="E13" s="61" t="s">
        <v>382</v>
      </c>
    </row>
    <row r="14" customFormat="false" ht="31.5" hidden="false" customHeight="true" outlineLevel="0" collapsed="false">
      <c r="A14" s="57" t="n">
        <v>8</v>
      </c>
      <c r="B14" s="58" t="s">
        <v>383</v>
      </c>
      <c r="C14" s="48" t="n">
        <f aca="false">Assumptions!C41</f>
        <v>1</v>
      </c>
      <c r="D14" s="60" t="str">
        <f aca="false">IF(ABS(Assumptions!C41-1)&lt;0.00001,"OK","CHECK")</f>
        <v>OK</v>
      </c>
      <c r="E14" s="61" t="s">
        <v>384</v>
      </c>
    </row>
    <row r="15" customFormat="false" ht="31.5" hidden="false" customHeight="true" outlineLevel="0" collapsed="false">
      <c r="A15" s="57" t="n">
        <v>9</v>
      </c>
      <c r="B15" s="58" t="s">
        <v>385</v>
      </c>
      <c r="C15" s="59" t="n">
        <f aca="false">MIN(Assumptions!C16:E16)-Assumptions!C73</f>
        <v>14</v>
      </c>
      <c r="D15" s="60" t="str">
        <f aca="false">IF(MIN(Assumptions!C16:E16)-Assumptions!C73&gt;=-0.00001,"OK","CHECK")</f>
        <v>OK</v>
      </c>
      <c r="E15" s="61" t="s">
        <v>386</v>
      </c>
    </row>
    <row r="16" customFormat="false" ht="31.5" hidden="false" customHeight="true" outlineLevel="0" collapsed="false">
      <c r="A16" s="57" t="n">
        <v>10</v>
      </c>
      <c r="B16" s="58" t="s">
        <v>387</v>
      </c>
      <c r="C16" s="48" t="n">
        <f aca="false">IFERROR((Assumptions!F16-Assumptions!C73)/Assumptions!C72,"n/a")</f>
        <v>0.145945945945946</v>
      </c>
      <c r="D16" s="60" t="str">
        <f aca="false">"INFO"</f>
        <v>INFO</v>
      </c>
      <c r="E16" s="61" t="s">
        <v>388</v>
      </c>
    </row>
    <row r="17" customFormat="false" ht="31.5" hidden="false" customHeight="true" outlineLevel="0" collapsed="false">
      <c r="A17" s="57" t="n">
        <v>11</v>
      </c>
      <c r="B17" s="58" t="s">
        <v>389</v>
      </c>
      <c r="C17" s="52" t="n">
        <f aca="false">IF(AND(ISNUMBER(Assumptions!C54),N(Assumptions!C54)&lt;&gt;0),(Assumptions!C8*Assumptions!C22/12)/Assumptions!C54-1,"not entered")</f>
        <v>0.00413467217956298</v>
      </c>
      <c r="D17" s="60" t="str">
        <f aca="false">IF(AND(ISNUMBER(Assumptions!C54),N(Assumptions!C54)&lt;&gt;0),IF(ABS((Assumptions!C8*Assumptions!C22/12)/Assumptions!C54-1)&lt;=Assumptions!C55,"OK","CHECK"),"NOTE")</f>
        <v>OK</v>
      </c>
      <c r="E17" s="61" t="s">
        <v>390</v>
      </c>
    </row>
    <row r="18" customFormat="false" ht="31.5" hidden="false" customHeight="true" outlineLevel="0" collapsed="false">
      <c r="A18" s="57" t="n">
        <v>12</v>
      </c>
      <c r="B18" s="58" t="s">
        <v>391</v>
      </c>
      <c r="C18" s="59" t="n">
        <f aca="false">Assumptions!C45</f>
        <v>6</v>
      </c>
      <c r="D18" s="60" t="str">
        <f aca="false">IF(Assumptions!C45&gt;0,IF(AND(COUNT(Assumptions!C46:C48)=3,Assumptions!C48&gt;=Assumptions!C47,Assumptions!C45&lt;=MAX(Assumptions!C8,Assumptions!C59:C70)),"OK","CHECK"),"OK")</f>
        <v>OK</v>
      </c>
      <c r="E18" s="61" t="s">
        <v>392</v>
      </c>
    </row>
    <row r="19" customFormat="false" ht="31.5" hidden="false" customHeight="true" outlineLevel="0" collapsed="false">
      <c r="A19" s="57" t="n">
        <v>13</v>
      </c>
      <c r="B19" s="58" t="s">
        <v>393</v>
      </c>
      <c r="C19" s="59" t="str">
        <f aca="false">COUNT(Summary!C7:C9,Summary!C11:C14,Summary!C16)&amp;" of 8 lines"</f>
        <v>8 of 8 lines</v>
      </c>
      <c r="D19" s="60" t="str">
        <f aca="false">IF(COUNT(Summary!C7:C9,Summary!C11:C14)=7,"OK",IF(COUNT(Summary!C7:C9,Summary!C11:C14,Summary!C16)=0,"NOTE","CHECK"))</f>
        <v>OK</v>
      </c>
      <c r="E19" s="61" t="s">
        <v>394</v>
      </c>
    </row>
    <row r="20" customFormat="false" ht="31.5" hidden="false" customHeight="true" outlineLevel="0" collapsed="false">
      <c r="A20" s="57" t="n">
        <v>14</v>
      </c>
      <c r="B20" s="58" t="s">
        <v>395</v>
      </c>
      <c r="C20" s="59" t="n">
        <f aca="false">Summary!F38-Summary!B17</f>
        <v>0</v>
      </c>
      <c r="D20" s="60" t="str">
        <f aca="false">IF(AND(ABS(Summary!F38-Summary!B17)&lt;0.5,ABS(Summary!F37-Summary!B16)&lt;0.5),"OK","CHECK")</f>
        <v>OK</v>
      </c>
      <c r="E20" s="61" t="s">
        <v>396</v>
      </c>
    </row>
    <row r="21" customFormat="false" ht="31.5" hidden="false" customHeight="true" outlineLevel="0" collapsed="false">
      <c r="A21" s="57" t="n">
        <v>15</v>
      </c>
      <c r="B21" s="58" t="s">
        <v>397</v>
      </c>
      <c r="C21" s="59" t="n">
        <f aca="false">(Summary!B10-'People cost'!M17)+(Summary!B15-'HR function'!J17)</f>
        <v>0</v>
      </c>
      <c r="D21" s="60" t="str">
        <f aca="false">IF(AND(ABS(Summary!B10-'People cost'!M17)&lt;0.5,ABS(Summary!B15-'HR function'!J17)&lt;0.5),"OK","CHECK")</f>
        <v>OK</v>
      </c>
      <c r="E21" s="61" t="s">
        <v>398</v>
      </c>
    </row>
    <row r="22" customFormat="false" ht="31.5" hidden="false" customHeight="true" outlineLevel="0" collapsed="false">
      <c r="A22" s="57" t="n">
        <v>16</v>
      </c>
      <c r="B22" s="58" t="s">
        <v>399</v>
      </c>
      <c r="C22" s="59" t="n">
        <f aca="false">Sensitivity!C8</f>
        <v>0</v>
      </c>
      <c r="D22" s="60" t="str">
        <f aca="false">IF(ABS(Sensitivity!C8)&lt;0.5,"OK","CHECK")</f>
        <v>OK</v>
      </c>
      <c r="E22" s="61" t="s">
        <v>400</v>
      </c>
    </row>
    <row r="23" customFormat="false" ht="31.5" hidden="false" customHeight="true" outlineLevel="0" collapsed="false">
      <c r="A23" s="57" t="n">
        <v>17</v>
      </c>
      <c r="B23" s="58" t="s">
        <v>401</v>
      </c>
      <c r="C23" s="59" t="n">
        <f aca="false">INDEX(Summary!B59:B61,Assumptions!C9)-Summary!B17</f>
        <v>0</v>
      </c>
      <c r="D23" s="60" t="str">
        <f aca="false">IF(ABS(INDEX(Summary!B59:B61,Assumptions!C9)-Summary!B17)&lt;0.5,"OK","CHECK")</f>
        <v>OK</v>
      </c>
      <c r="E23" s="61" t="s">
        <v>402</v>
      </c>
    </row>
    <row r="24" customFormat="false" ht="31.5" hidden="false" customHeight="true" outlineLevel="0" collapsed="false">
      <c r="A24" s="57" t="n">
        <v>18</v>
      </c>
      <c r="B24" s="58" t="s">
        <v>403</v>
      </c>
      <c r="C24" s="59" t="n">
        <f aca="false">IF(AND(ISNUMBER(Summary!B53),ISNUMBER(Summary!B54)),Summary!B52+Summary!B53+Summary!B54-Summary!B55,"n/a")</f>
        <v>0</v>
      </c>
      <c r="D24" s="60" t="str">
        <f aca="false">IF(NOT(AND(ISNUMBER(Summary!B53),ISNUMBER(Summary!B54))),"NOTE",IF(ABS(Summary!B52+Summary!B53+Summary!B54-Summary!B55)&lt;0.5,"OK","CHECK"))</f>
        <v>OK</v>
      </c>
      <c r="E24" s="61" t="s">
        <v>404</v>
      </c>
    </row>
    <row r="25" customFormat="false" ht="31.5" hidden="false" customHeight="true" outlineLevel="0" collapsed="false">
      <c r="A25" s="57" t="n">
        <v>19</v>
      </c>
      <c r="B25" s="58" t="s">
        <v>405</v>
      </c>
      <c r="C25" s="21" t="n">
        <f aca="false">SUMPRODUCT(--ISERROR('People cost'!A5:M17))+SUMPRODUCT(--ISERROR('HR function'!A5:J17))+SUMPRODUCT(--ISERROR(Summary!A5:G62))+SUMPRODUCT(--ISERROR(Sensitivity!A4:K37))</f>
        <v>0</v>
      </c>
      <c r="D25" s="60" t="str">
        <f aca="false">IF(C25=0,"OK","CHECK")</f>
        <v>OK</v>
      </c>
      <c r="E25" s="61" t="s">
        <v>406</v>
      </c>
    </row>
    <row r="26" customFormat="false" ht="31.5" hidden="false" customHeight="true" outlineLevel="0" collapsed="false">
      <c r="A26" s="57" t="n">
        <v>20</v>
      </c>
      <c r="B26" s="58" t="s">
        <v>407</v>
      </c>
      <c r="C26" s="21" t="n">
        <f aca="false">SUMPRODUCT(--(ABS(Assumptions!C60:C70-Assumptions!C59:C69)&gt;0.1*Assumptions!C59:C69))+IF(ABS(Assumptions!C59-Assumptions!C8)&gt;0.1*Assumptions!C8,1,0)</f>
        <v>0</v>
      </c>
      <c r="D26" s="60" t="str">
        <f aca="false">IF(C26=0,"OK","NOTE")</f>
        <v>OK</v>
      </c>
      <c r="E26" s="61" t="s">
        <v>408</v>
      </c>
    </row>
  </sheetData>
  <conditionalFormatting sqref="D7:D40">
    <cfRule type="cellIs" priority="2" operator="equal" aboveAverage="0" equalAverage="0" bottom="0" percent="0" rank="0" text="" dxfId="1">
      <formula>"OK"</formula>
    </cfRule>
    <cfRule type="cellIs" priority="3" operator="equal" aboveAverage="0" equalAverage="0" bottom="0" percent="0" rank="0" text="" dxfId="2">
      <formula>"CHECK"</formula>
    </cfRule>
    <cfRule type="cellIs" priority="4" operator="equal" aboveAverage="0" equalAverage="0" bottom="0" percent="0" rank="0" text="" dxfId="3">
      <formula>"NOTE"</formula>
    </cfRule>
    <cfRule type="cellIs" priority="5" operator="equal" aboveAverage="0" equalAverage="0" bottom="0" percent="0" rank="0" text="" dxfId="4">
      <formula>"INFO"</formula>
    </cfRule>
  </conditionalFormatting>
  <conditionalFormatting sqref="C4">
    <cfRule type="expression" priority="6" aboveAverage="0" equalAverage="0" bottom="0" percent="0" rank="0" text="" dxfId="1">
      <formula>$C$3=0</formula>
    </cfRule>
    <cfRule type="expression" priority="7" aboveAverage="0" equalAverage="0" bottom="0" percent="0" rank="0" text="" dxfId="2">
      <formula>$C$3&gt;0</formula>
    </cfRule>
  </conditionalFormatting>
  <printOptions headings="false" gridLines="false" gridLinesSet="true" horizontalCentered="false" verticalCentered="false"/>
  <pageMargins left="0.5" right="0.5" top="0.6"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&amp;LTemplate from HR Riant, hrriant.com&amp;R&amp;A,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2026-10-28T05:31:22Z</dcterms:created>
  <dc:creator>HR Riant, hrriant.com</dc:creator>
  <dc:description/>
  <dc:language>en-US</dc:language>
  <cp:lastModifiedBy/>
  <dcterms:modified xsi:type="dcterms:W3CDTF">2026-10-28T05:31:22Z</dcterms:modified>
  <cp:revision>0</cp:revision>
  <dc:subject>HR department and people-cost budget workbook</dc:subject>
  <dc:title>HR Budget Template 2027</dc:title>
</cp:coreProperties>
</file>

<file path=docProps/custom.xml><?xml version="1.0" encoding="utf-8"?>
<Properties xmlns="http://schemas.openxmlformats.org/officeDocument/2006/custom-properties" xmlns:vt="http://schemas.openxmlformats.org/officeDocument/2006/docPropsVTypes"/>
</file>