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Settings" sheetId="2" state="visible" r:id="rId4"/>
    <sheet name="Ranges" sheetId="3" state="visible" r:id="rId5"/>
    <sheet name="Matrix" sheetId="4" state="visible" r:id="rId6"/>
    <sheet name="Roster" sheetId="5" state="visible" r:id="rId7"/>
    <sheet name="Budget" sheetId="6" state="visible" r:id="rId8"/>
    <sheet name="Checks" sheetId="7" state="visible" r:id="rId9"/>
  </sheets>
  <definedNames>
    <definedName function="false" hidden="false" localSheetId="5" name="_xlnm.Print_Area" vbProcedure="false">Budget!$A$1:$G$51</definedName>
    <definedName function="false" hidden="false" localSheetId="6" name="_xlnm.Print_Area" vbProcedure="false">Checks!$A$1:$G$30</definedName>
    <definedName function="false" hidden="false" localSheetId="3" name="_xlnm.Print_Area" vbProcedure="false">Matrix!$A$1:$G$40</definedName>
    <definedName function="false" hidden="false" localSheetId="2" name="_xlnm.Print_Area" vbProcedure="false">Ranges!$A$1:$F$18</definedName>
    <definedName function="false" hidden="false" localSheetId="0" name="_xlnm.Print_Area" vbProcedure="false">'Read me'!$A$1:$A$29</definedName>
    <definedName function="false" hidden="false" localSheetId="4" name="_xlnm.Print_Area" vbProcedure="false">Roster!$A$1:$AB$254</definedName>
    <definedName function="false" hidden="false" localSheetId="4" name="_xlnm.Print_Titles" vbProcedure="false">Roster!$4:$4</definedName>
    <definedName function="false" hidden="false" localSheetId="1" name="_xlnm.Print_Area" vbProcedure="false">Settings!$A$1:$C$23</definedName>
    <definedName function="false" hidden="false" name="Basis" vbProcedure="false">Settings!$B$7</definedName>
    <definedName function="false" hidden="false" name="BudgetPct" vbProcedure="false">Settings!$B$8</definedName>
    <definedName function="false" hidden="false" name="CapAtMax" vbProcedure="false">Settings!$B$10</definedName>
    <definedName function="false" hidden="false" name="CurrencyCode" vbProcedure="false">Settings!$B$6</definedName>
    <definedName function="false" hidden="false" name="Cutoff" vbProcedure="false">Settings!$B$15</definedName>
    <definedName function="false" hidden="false" name="EffDate" vbProcedure="false">Settings!$B$16</definedName>
    <definedName function="false" hidden="false" name="FYEnd" vbProcedure="false">Settings!$B$18</definedName>
    <definedName function="false" hidden="false" name="FYStart" vbProcedure="false">Settings!$B$17</definedName>
    <definedName function="false" hidden="false" name="MonthCutDay" vbProcedure="false">Settings!$B$22</definedName>
    <definedName function="false" hidden="false" name="PeriodEnd" vbProcedure="false">Settings!$B$14</definedName>
    <definedName function="false" hidden="false" name="PeriodMonths" vbProcedure="false">Settings!$B$23</definedName>
    <definedName function="false" hidden="false" name="PeriodStart" vbProcedure="false">Settings!$B$13</definedName>
    <definedName function="false" hidden="false" name="ProrateMethod" vbProcedure="false">Settings!$B$21</definedName>
    <definedName function="false" hidden="false" name="Tol" vbProcedure="false">Settings!$B$9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<sst xmlns="http://schemas.openxmlformats.org/spreadsheetml/2006/main" count="323" uniqueCount="276">
  <si>
    <t xml:space="preserve">Merit increase matrix 2027</t>
  </si>
  <si>
    <t xml:space="preserve">Template from HR Riant, hrriant.com</t>
  </si>
  <si>
    <t xml:space="preserve">What this workbook does</t>
  </si>
  <si>
    <t xml:space="preserve">It turns a merit matrix (performance rating by compa-ratio or position in range) into a recommended increase for each employee, adds up the cost, and compares it with a merit budget set as a percentage of eligible payroll. A proration setting reduces the increase for people hired during the review period. The Checks sheet flags totals that do not tie.</t>
  </si>
  <si>
    <t xml:space="preserve">This workbook is a planning aid. It is not pay, legal or tax advice, and the sample numbers are illustrative, not benchmarks. Check your plan rules, employment contracts and local law before you communicate any increase.</t>
  </si>
  <si>
    <t xml:space="preserve">Color legend</t>
  </si>
  <si>
    <t xml:space="preserve">Blue text on light yellow: an input you fill or replace.</t>
  </si>
  <si>
    <t xml:space="preserve">Black text (gray fill on the Roster): a formula. Do not overwrite it.</t>
  </si>
  <si>
    <t xml:space="preserve">On the Checks sheet: green OK, red CHECK (fix before you rely on the totals), amber REVIEW (look at it, then decide).</t>
  </si>
  <si>
    <t xml:space="preserve">How to fill it, in order</t>
  </si>
  <si>
    <t xml:space="preserve">1. Settings: matrix basis, merit budget %, tolerance, cap choice, the six dates, proration method. Use the merit-only budget, not the total increase budget.</t>
  </si>
  <si>
    <t xml:space="preserve">2. Ranges: one row per grade with your range minimum, midpoint and maximum. Midpoints that are out of date make compa-ratios misleading.</t>
  </si>
  <si>
    <t xml:space="preserve">3. Matrix: set the band limits for the basis you chose and the increase % in each of the 25 cells.</t>
  </si>
  <si>
    <t xml:space="preserve">4. Roster: delete the 24 sample rows (select the blue cells in columns A to H, press Delete), then paste your own data. Up to 250 employees.</t>
  </si>
  <si>
    <t xml:space="preserve">5. Budget: read the status, the bridge from matrix cost to plan cost, and the scale factor. Adjust the Matrix or the Settings and read it again.</t>
  </si>
  <si>
    <t xml:space="preserve">6. Checks: clear every CHECK. Decide on every REVIEW.</t>
  </si>
  <si>
    <t xml:space="preserve">Method notes</t>
  </si>
  <si>
    <t xml:space="preserve">Compa-ratio = base salary / range midpoint. Position in range = (salary - range minimum) / (range maximum - range minimum).</t>
  </si>
  <si>
    <t xml:space="preserve">Eligible payroll = annualized base salary of employees marked eligible. Budget amount = merit budget % x eligible payroll. Plan cost = sum of each person's increase after override, proration and the optional cap. Confirm that your finance team measures the budget the same way.</t>
  </si>
  <si>
    <t xml:space="preserve">Proration. None: full increase. Monthly: whole months in the review period from the hire month (a hire counts for its month only if hired on or before the day set on Settings) / months in the review period. Daily: days from the hire date to the review period end / days in the review period. The proration factor multiplies the increase percentage.</t>
  </si>
  <si>
    <t xml:space="preserve">Cap. If cap is Yes, an increase is limited so new base pay does not pass the range maximum. The capped amount is not paid and is not modeled as a lump sum.</t>
  </si>
  <si>
    <t xml:space="preserve">Pasting over a dropdown cell skips its rule, so the Checks sheet counts what falls outside the rules. A plan status other than Include, Exclude or blank marks the row not eligible, with the reason in Roster column Q. An override that is not a number from 0% to 100% is ignored and flagged in column AB. Checks also counts repeated employee IDs, blank or invalid Settings cells, input below Roster row 254 and error values.</t>
  </si>
  <si>
    <t xml:space="preserve">Limits</t>
  </si>
  <si>
    <t xml:space="preserve">Five rating levels, up to five bands, 12 grades, 250 employees, one currency, annualized base pay. Promotions, market adjustments, lump sums, bonuses, part-time pro rata and payroll taxes are outside the workbook. The in-year cost on the Budget sheet is a memo estimate for base pay only.</t>
  </si>
  <si>
    <t xml:space="preserve">Percentages and ranges shipped in the file are placeholders to show how the sheets work. They are not published benchmarks.</t>
  </si>
  <si>
    <t xml:space="preserve">Sheets</t>
  </si>
  <si>
    <t xml:space="preserve">Read me | Settings | Ranges | Matrix | Roster | Budget | Checks</t>
  </si>
  <si>
    <t xml:space="preserve">Settings</t>
  </si>
  <si>
    <t xml:space="preserve">Fill the blue cells. Every other sheet reads from here. Sample values are placeholders.</t>
  </si>
  <si>
    <t xml:space="preserve">Setting</t>
  </si>
  <si>
    <t xml:space="preserve">Value</t>
  </si>
  <si>
    <t xml:space="preserve">What it does</t>
  </si>
  <si>
    <t xml:space="preserve">Plan label</t>
  </si>
  <si>
    <t xml:space="preserve">2027 merit cycle (sample)</t>
  </si>
  <si>
    <t xml:space="preserve">Free text. Shown on the Budget sheet.</t>
  </si>
  <si>
    <t xml:space="preserve">Currency code (label only)</t>
  </si>
  <si>
    <t xml:space="preserve">USD</t>
  </si>
  <si>
    <t xml:space="preserve">Shown in headings. The workbook does not convert currencies.</t>
  </si>
  <si>
    <t xml:space="preserve">Matrix basis</t>
  </si>
  <si>
    <t xml:space="preserve">Compa-ratio</t>
  </si>
  <si>
    <t xml:space="preserve">Compa-ratio = base salary / range midpoint. Position in range = (salary - minimum) / (maximum - minimum).</t>
  </si>
  <si>
    <t xml:space="preserve">Merit budget, % of eligible payroll</t>
  </si>
  <si>
    <t xml:space="preserve">Use the merit-only pool, not the total increase budget. Sample value only.</t>
  </si>
  <si>
    <t xml:space="preserve">Budget tolerance (percentage points)</t>
  </si>
  <si>
    <t xml:space="preserve">The Budget sheet says 'Within tolerance' when plan cost is this close to the budget.</t>
  </si>
  <si>
    <t xml:space="preserve">Cap increases at range maximum?</t>
  </si>
  <si>
    <t xml:space="preserve">Yes</t>
  </si>
  <si>
    <t xml:space="preserve">Yes limits each increase so new base pay does not pass the range maximum. The capped amount is not paid.</t>
  </si>
  <si>
    <t xml:space="preserve">Dates</t>
  </si>
  <si>
    <t xml:space="preserve">Review period start</t>
  </si>
  <si>
    <t xml:space="preserve">Start of the performance period the ratings cover. Used for proration.</t>
  </si>
  <si>
    <t xml:space="preserve">Review period end</t>
  </si>
  <si>
    <t xml:space="preserve">End of the performance period.</t>
  </si>
  <si>
    <t xml:space="preserve">Eligibility cutoff: hired on or before</t>
  </si>
  <si>
    <t xml:space="preserve">People hired after this date get no increase. Your plan rule; the sample date is a placeholder.</t>
  </si>
  <si>
    <t xml:space="preserve">Merit effective date</t>
  </si>
  <si>
    <t xml:space="preserve">Date the new base pay starts. Used only for the in-year cost estimate.</t>
  </si>
  <si>
    <t xml:space="preserve">Budget year start</t>
  </si>
  <si>
    <t xml:space="preserve">First day of the financial year the cost lands in.</t>
  </si>
  <si>
    <t xml:space="preserve">Budget year end</t>
  </si>
  <si>
    <t xml:space="preserve">Last day of that financial year.</t>
  </si>
  <si>
    <t xml:space="preserve">Proration</t>
  </si>
  <si>
    <t xml:space="preserve">Proration method</t>
  </si>
  <si>
    <t xml:space="preserve">Monthly</t>
  </si>
  <si>
    <t xml:space="preserve">None = full increase for everyone eligible. Monthly = whole months in the review period / months in the period. Daily = days / days.</t>
  </si>
  <si>
    <t xml:space="preserve">Monthly rule: last day of the month a hire still counts</t>
  </si>
  <si>
    <t xml:space="preserve">Applies to Monthly only. A hire on or before this day counts for that calendar month; a hire on a later day does not.</t>
  </si>
  <si>
    <t xml:space="preserve">Months in review period (calculated)</t>
  </si>
  <si>
    <t xml:space="preserve">Denominator for Monthly proration. 12 for a calendar-year period.</t>
  </si>
  <si>
    <t xml:space="preserve">Ranges</t>
  </si>
  <si>
    <t xml:space="preserve">One row per pay grade. Use your own range minimum, midpoint and maximum. Sample ranges are placeholders.</t>
  </si>
  <si>
    <t xml:space="preserve">Grade</t>
  </si>
  <si>
    <t xml:space="preserve">Range minimum</t>
  </si>
  <si>
    <t xml:space="preserve">Range midpoint</t>
  </si>
  <si>
    <t xml:space="preserve">Range maximum</t>
  </si>
  <si>
    <t xml:space="preserve">Spread (max / min - 1)</t>
  </si>
  <si>
    <t xml:space="preserve">Check</t>
  </si>
  <si>
    <t xml:space="preserve">G3</t>
  </si>
  <si>
    <t xml:space="preserve">G4</t>
  </si>
  <si>
    <t xml:space="preserve">G5</t>
  </si>
  <si>
    <t xml:space="preserve">G6</t>
  </si>
  <si>
    <t xml:space="preserve">G7</t>
  </si>
  <si>
    <t xml:space="preserve">Rules: minimum &lt; midpoint &lt; maximum for every grade. Annual amounts in one currency. Leave unused rows blank.</t>
  </si>
  <si>
    <t xml:space="preserve">Merit matrix</t>
  </si>
  <si>
    <t xml:space="preserve">Rows are performance ratings, columns are position bands. Percentages and band limits below are illustrative placeholders, not benchmarks.</t>
  </si>
  <si>
    <t xml:space="preserve">Active basis</t>
  </si>
  <si>
    <t xml:space="preserve">Band number</t>
  </si>
  <si>
    <t xml:space="preserve">Lower limit, compa-ratio</t>
  </si>
  <si>
    <t xml:space="preserve">Lower limit, position in range</t>
  </si>
  <si>
    <t xml:space="preserve">Active lower limit (calculated)</t>
  </si>
  <si>
    <t xml:space="preserve">Band label (calculated)</t>
  </si>
  <si>
    <t xml:space="preserve">Recommended increase % by rating and band</t>
  </si>
  <si>
    <t xml:space="preserve">Rating</t>
  </si>
  <si>
    <t xml:space="preserve">Rating label</t>
  </si>
  <si>
    <t xml:space="preserve">Outstanding</t>
  </si>
  <si>
    <t xml:space="preserve">Exceeds expectations</t>
  </si>
  <si>
    <t xml:space="preserve">Meets expectations</t>
  </si>
  <si>
    <t xml:space="preserve">Partially meets expectations</t>
  </si>
  <si>
    <t xml:space="preserve">Does not meet expectations</t>
  </si>
  <si>
    <t xml:space="preserve">Simple average of the 25 cells (information only)</t>
  </si>
  <si>
    <t xml:space="preserve">Plan average increase, weighted by payroll (from Budget)</t>
  </si>
  <si>
    <t xml:space="preserve">The simple average ignores where people sit. Only the weighted figure tells you the cost.</t>
  </si>
  <si>
    <t xml:space="preserve">Eligible headcount in each cell (from Roster)</t>
  </si>
  <si>
    <t xml:space="preserve">Plan cost in each cell (from Roster)</t>
  </si>
  <si>
    <t xml:space="preserve">Total of the cost grid</t>
  </si>
  <si>
    <t xml:space="preserve">Notes: the first band has no floor, so every employee lands in a band. Keep the limits ascending. A 3-point or 4-point rating scale: give the unused ratings the same percentages as their neighbor and do not use them in the Roster.</t>
  </si>
  <si>
    <t xml:space="preserve">Roster</t>
  </si>
  <si>
    <t xml:space="preserve">One row per employee, rows 5 to 254. Fill the blue columns A to H. Columns I to AB calculate. The 24 sample rows are invented: delete them before you load real data.</t>
  </si>
  <si>
    <t xml:space="preserve">Inputs</t>
  </si>
  <si>
    <t xml:space="preserve">Calculated: do not overwrite</t>
  </si>
  <si>
    <t xml:space="preserve">Employee ID or label</t>
  </si>
  <si>
    <t xml:space="preserve">Hire date</t>
  </si>
  <si>
    <t xml:space="preserve">Rating (1-5 or NR)</t>
  </si>
  <si>
    <t xml:space="preserve">Base salary, annualized</t>
  </si>
  <si>
    <t xml:space="preserve">Plan status (blank = Include)</t>
  </si>
  <si>
    <t xml:space="preserve">Override % (optional)</t>
  </si>
  <si>
    <t xml:space="preserve">Override reason</t>
  </si>
  <si>
    <t xml:space="preserve">Position in range</t>
  </si>
  <si>
    <t xml:space="preserve">Measure used</t>
  </si>
  <si>
    <t xml:space="preserve">Band #</t>
  </si>
  <si>
    <t xml:space="preserve">Eligible?</t>
  </si>
  <si>
    <t xml:space="preserve">Reason if not eligible</t>
  </si>
  <si>
    <t xml:space="preserve">Matrix %</t>
  </si>
  <si>
    <t xml:space="preserve">Increase % (matrix or override)</t>
  </si>
  <si>
    <t xml:space="preserve">Proration factor</t>
  </si>
  <si>
    <t xml:space="preserve">Increase % after proration</t>
  </si>
  <si>
    <t xml:space="preserve">Matrix amount</t>
  </si>
  <si>
    <t xml:space="preserve">Amount with override</t>
  </si>
  <si>
    <t xml:space="preserve">Amount after proration</t>
  </si>
  <si>
    <t xml:space="preserve">Plan increase (after cap)</t>
  </si>
  <si>
    <t xml:space="preserve">New base salary</t>
  </si>
  <si>
    <t xml:space="preserve">New compa-ratio</t>
  </si>
  <si>
    <t xml:space="preserve">Flags</t>
  </si>
  <si>
    <t xml:space="preserve">E001</t>
  </si>
  <si>
    <t xml:space="preserve">E002</t>
  </si>
  <si>
    <t xml:space="preserve">E003</t>
  </si>
  <si>
    <t xml:space="preserve">E004</t>
  </si>
  <si>
    <t xml:space="preserve">E005</t>
  </si>
  <si>
    <t xml:space="preserve">E006</t>
  </si>
  <si>
    <t xml:space="preserve">E007</t>
  </si>
  <si>
    <t xml:space="preserve">E008</t>
  </si>
  <si>
    <t xml:space="preserve">E009</t>
  </si>
  <si>
    <t xml:space="preserve">E010</t>
  </si>
  <si>
    <t xml:space="preserve">E011</t>
  </si>
  <si>
    <t xml:space="preserve">E012</t>
  </si>
  <si>
    <t xml:space="preserve">E013</t>
  </si>
  <si>
    <t xml:space="preserve">E014</t>
  </si>
  <si>
    <t xml:space="preserve">E015</t>
  </si>
  <si>
    <t xml:space="preserve">E016</t>
  </si>
  <si>
    <t xml:space="preserve">E017</t>
  </si>
  <si>
    <t xml:space="preserve">E018</t>
  </si>
  <si>
    <t xml:space="preserve">Sample retention case</t>
  </si>
  <si>
    <t xml:space="preserve">E019</t>
  </si>
  <si>
    <t xml:space="preserve">E020</t>
  </si>
  <si>
    <t xml:space="preserve">E021</t>
  </si>
  <si>
    <t xml:space="preserve">E022</t>
  </si>
  <si>
    <t xml:space="preserve">NR</t>
  </si>
  <si>
    <t xml:space="preserve">E023</t>
  </si>
  <si>
    <t xml:space="preserve">Exclude</t>
  </si>
  <si>
    <t xml:space="preserve">E024</t>
  </si>
  <si>
    <t xml:space="preserve">Budget</t>
  </si>
  <si>
    <t xml:space="preserve">Checks status</t>
  </si>
  <si>
    <t xml:space="preserve">Headcount and payroll</t>
  </si>
  <si>
    <t xml:space="preserve">Employees on the roster</t>
  </si>
  <si>
    <t xml:space="preserve">Rows with any input in Roster columns A to F.</t>
  </si>
  <si>
    <t xml:space="preserve">Eligible employees</t>
  </si>
  <si>
    <t xml:space="preserve">Hired on or before the cutoff, rated, in a known grade, not excluded.</t>
  </si>
  <si>
    <t xml:space="preserve">Not eligible</t>
  </si>
  <si>
    <t xml:space="preserve">See the reason in Roster column Q.</t>
  </si>
  <si>
    <t xml:space="preserve">Eligible payroll (annualized base)</t>
  </si>
  <si>
    <t xml:space="preserve">The base the merit budget % is applied to.</t>
  </si>
  <si>
    <t xml:space="preserve">Payroll of people not eligible</t>
  </si>
  <si>
    <t xml:space="preserve">Not part of the budget base.</t>
  </si>
  <si>
    <t xml:space="preserve">Budget check</t>
  </si>
  <si>
    <t xml:space="preserve">From Settings.</t>
  </si>
  <si>
    <t xml:space="preserve">Merit budget amount</t>
  </si>
  <si>
    <t xml:space="preserve">Budget % x eligible payroll.</t>
  </si>
  <si>
    <t xml:space="preserve">Cost of the matrix alone</t>
  </si>
  <si>
    <t xml:space="preserve">Before overrides, proration and the range-maximum cap.</t>
  </si>
  <si>
    <t xml:space="preserve">Plan cost (annualized)</t>
  </si>
  <si>
    <t xml:space="preserve">After overrides, proration and cap. This is the figure to compare with the budget.</t>
  </si>
  <si>
    <t xml:space="preserve">Plan cost as % of eligible payroll</t>
  </si>
  <si>
    <t xml:space="preserve">The payroll-weighted average increase.</t>
  </si>
  <si>
    <t xml:space="preserve">Budget used</t>
  </si>
  <si>
    <t xml:space="preserve">Plan cost / budget amount.</t>
  </si>
  <si>
    <t xml:space="preserve">Budget remaining (negative = over)</t>
  </si>
  <si>
    <t xml:space="preserve">Budget amount minus plan cost.</t>
  </si>
  <si>
    <t xml:space="preserve">Gap to budget (percentage points)</t>
  </si>
  <si>
    <t xml:space="preserve">Plan % minus budget %.</t>
  </si>
  <si>
    <t xml:space="preserve">Status</t>
  </si>
  <si>
    <t xml:space="preserve">Tolerance is set on the Settings sheet.</t>
  </si>
  <si>
    <t xml:space="preserve">Scale factor to land on budget (approximate)</t>
  </si>
  <si>
    <t xml:space="preserve">Multiply every matrix cell by this to land near the budget. Overrides and the cap make it approximate.</t>
  </si>
  <si>
    <t xml:space="preserve">Bridge from the matrix to the plan</t>
  </si>
  <si>
    <t xml:space="preserve">Starting point.</t>
  </si>
  <si>
    <t xml:space="preserve">Effect of overrides</t>
  </si>
  <si>
    <t xml:space="preserve">Manager or HR overrides in Roster column G.</t>
  </si>
  <si>
    <t xml:space="preserve">Effect of proration</t>
  </si>
  <si>
    <t xml:space="preserve">Zero when the proration method is None.</t>
  </si>
  <si>
    <t xml:space="preserve">Effect of range-maximum cap</t>
  </si>
  <si>
    <t xml:space="preserve">Zero when the cap setting is No.</t>
  </si>
  <si>
    <t xml:space="preserve">Plan cost from the bridge</t>
  </si>
  <si>
    <t xml:space="preserve">Must equal plan cost above.</t>
  </si>
  <si>
    <t xml:space="preserve">By rating (eligible employees)</t>
  </si>
  <si>
    <t xml:space="preserve">Label</t>
  </si>
  <si>
    <t xml:space="preserve">Headcount</t>
  </si>
  <si>
    <t xml:space="preserve">Eligible payroll</t>
  </si>
  <si>
    <t xml:space="preserve">Plan cost</t>
  </si>
  <si>
    <t xml:space="preserve">Avg increase %</t>
  </si>
  <si>
    <t xml:space="preserve">Share of plan cost</t>
  </si>
  <si>
    <t xml:space="preserve">Total</t>
  </si>
  <si>
    <t xml:space="preserve">By matrix band (eligible employees)</t>
  </si>
  <si>
    <t xml:space="preserve">Band</t>
  </si>
  <si>
    <t xml:space="preserve">In-year cost estimate (memo)</t>
  </si>
  <si>
    <t xml:space="preserve">Share of the budget year after the effective date</t>
  </si>
  <si>
    <t xml:space="preserve">Days from the effective date to budget year end / days in the budget year.</t>
  </si>
  <si>
    <t xml:space="preserve">Estimated in-year cost of plan increases</t>
  </si>
  <si>
    <t xml:space="preserve">Base pay only. Excludes payroll taxes, pay-linked benefits and bonus effects.</t>
  </si>
  <si>
    <t xml:space="preserve">Checks</t>
  </si>
  <si>
    <t xml:space="preserve">Each row compares two numbers that should agree, or counts something that should be zero. CHECK means fix it. REVIEW means look at it.</t>
  </si>
  <si>
    <t xml:space="preserve">Overall status (25 checks below)</t>
  </si>
  <si>
    <t xml:space="preserve">#</t>
  </si>
  <si>
    <t xml:space="preserve">Expected or limit</t>
  </si>
  <si>
    <t xml:space="preserve">Actual</t>
  </si>
  <si>
    <t xml:space="preserve">Difference</t>
  </si>
  <si>
    <t xml:space="preserve">What to do</t>
  </si>
  <si>
    <t xml:space="preserve">Roster rows counted = eligible + not eligible</t>
  </si>
  <si>
    <t xml:space="preserve">A row has input but no status. Look for a stray value in Roster columns A to F.</t>
  </si>
  <si>
    <t xml:space="preserve">Payroll on the roster = eligible + not eligible payroll</t>
  </si>
  <si>
    <t xml:space="preserve">Salary entered as text, or a row with salary but no other input.</t>
  </si>
  <si>
    <t xml:space="preserve">Plan cost = total of the by-rating table</t>
  </si>
  <si>
    <t xml:space="preserve">A rating outside 1 to 5 on an eligible row, or an edited rating code on the Matrix sheet.</t>
  </si>
  <si>
    <t xml:space="preserve">Plan cost = total of the by-band table</t>
  </si>
  <si>
    <t xml:space="preserve">Band limits changed so a band number is missing. Check the Matrix limits.</t>
  </si>
  <si>
    <t xml:space="preserve">Plan cost = total of the cost grid on the Matrix sheet</t>
  </si>
  <si>
    <t xml:space="preserve">Same causes as the two checks above.</t>
  </si>
  <si>
    <t xml:space="preserve">Bridge from matrix cost ends at plan cost</t>
  </si>
  <si>
    <t xml:space="preserve">A formula in Roster columns V to Y was overwritten.</t>
  </si>
  <si>
    <t xml:space="preserve">Rows with a data problem (reasons in Roster column Q)</t>
  </si>
  <si>
    <t xml:space="preserve">Filter Roster column Q for ID missing, Plan status not valid, Hire date missing, Salary missing, Grade not found, Rating missing, Rating not valid.</t>
  </si>
  <si>
    <t xml:space="preserve">Band limits ascend from band 1 to band 5</t>
  </si>
  <si>
    <t xml:space="preserve">Each active lower limit must be higher than the one to its left.</t>
  </si>
  <si>
    <t xml:space="preserve">Matrix cells filled with numbers of 0% or more</t>
  </si>
  <si>
    <t xml:space="preserve">Fill all 25 cells. Use 0% where no increase applies.</t>
  </si>
  <si>
    <t xml:space="preserve">Higher rating never gets a lower % in the same band</t>
  </si>
  <si>
    <t xml:space="preserve">Rows run from rating 5 down to rating 1. A cell below that is larger than the cell above it is unusual.</t>
  </si>
  <si>
    <t xml:space="preserve">Higher position never gets a higher % for the same rating</t>
  </si>
  <si>
    <t xml:space="preserve">A cell to the right that is larger than the cell on its left is unusual. Keep it only if your plan design says so.</t>
  </si>
  <si>
    <t xml:space="preserve">Grades with minimum &lt; midpoint &lt; maximum</t>
  </si>
  <si>
    <t xml:space="preserve">Fix the range on the Ranges sheet.</t>
  </si>
  <si>
    <t xml:space="preserve">Proration factors between 0 and 1</t>
  </si>
  <si>
    <t xml:space="preserve">Check the review period dates and the proration method on Settings.</t>
  </si>
  <si>
    <t xml:space="preserve">Dates in order (period, budget year, cutoff)</t>
  </si>
  <si>
    <t xml:space="preserve">Review period start &lt; end, budget year start &lt; end, cutoff on or before the review period end.</t>
  </si>
  <si>
    <t xml:space="preserve">Merit budget % is above 0% and not above 100%</t>
  </si>
  <si>
    <t xml:space="preserve">Enter the merit budget on Settings.</t>
  </si>
  <si>
    <t xml:space="preserve">Plan cost is not over the merit budget by more than the tolerance</t>
  </si>
  <si>
    <t xml:space="preserve">Lower matrix cells or apply the scale factor on the Budget sheet, then re-check.</t>
  </si>
  <si>
    <t xml:space="preserve">Plan cost is not under the merit budget by more than the tolerance</t>
  </si>
  <si>
    <t xml:space="preserve">Unspent budget. Decide whether to raise matrix cells or hold the money for other adjustments.</t>
  </si>
  <si>
    <t xml:space="preserve">Eligible employees whose new base pay is above the range maximum</t>
  </si>
  <si>
    <t xml:space="preserve">Consider the cap setting, a lump sum outside this workbook, or a range review.</t>
  </si>
  <si>
    <t xml:space="preserve">Overrides entered without a reason</t>
  </si>
  <si>
    <t xml:space="preserve">Write the reason in Roster column H.</t>
  </si>
  <si>
    <t xml:space="preserve">Eligible employees on the roster</t>
  </si>
  <si>
    <t xml:space="preserve">No eligible employees. Load the roster or check the cutoff date.</t>
  </si>
  <si>
    <t xml:space="preserve">Overrides that are not a number from 0% to 100% (ignored by the plan)</t>
  </si>
  <si>
    <t xml:space="preserve">Roster column G: enter 0% to 100% as a number, or clear the cell. Flags shows 'Override not valid, ignored.'</t>
  </si>
  <si>
    <t xml:space="preserve">Roster rows whose employee ID appears more than once</t>
  </si>
  <si>
    <t xml:space="preserve">Count each person once. Remove the repeated row or give the rows distinct IDs. Flags shows 'Duplicate ID.'</t>
  </si>
  <si>
    <t xml:space="preserve">Settings cells that are blank or not valid</t>
  </si>
  <si>
    <t xml:space="preserve">Refill the blue cells on Settings: basis, cap and proration method from the lists, the six dates, the Monthly rule day (1 to 31) and the tolerance.</t>
  </si>
  <si>
    <t xml:space="preserve">Roster rows with input below row 254 (not read by the workbook)</t>
  </si>
  <si>
    <t xml:space="preserve">The file reads rows 5 to 254 only. Put the extra people in a second copy of the file.</t>
  </si>
  <si>
    <t xml:space="preserve">Error values in calculated cells (Roster, Budget, Matrix, Settings)</t>
  </si>
  <si>
    <t xml:space="preserve">Find the cell that shows #VALUE!, #REF! or #N/A. Text in a number or date input is the usual cause.</t>
  </si>
</sst>
</file>

<file path=xl/styles.xml><?xml version="1.0" encoding="utf-8"?>
<styleSheet xmlns="http://schemas.openxmlformats.org/spreadsheetml/2006/main">
  <numFmts count="18">
    <numFmt numFmtId="164" formatCode="General"/>
    <numFmt numFmtId="165" formatCode="0.00%"/>
    <numFmt numFmtId="166" formatCode="yyyy\-mm\-dd"/>
    <numFmt numFmtId="167" formatCode="0"/>
    <numFmt numFmtId="168" formatCode="#,##0"/>
    <numFmt numFmtId="169" formatCode="0%"/>
    <numFmt numFmtId="170" formatCode="&quot;no floor&quot;;&quot;no floor&quot;;&quot;no floor&quot;"/>
    <numFmt numFmtId="171" formatCode="0.00"/>
    <numFmt numFmtId="172" formatCode="[&lt;-50]&quot;no floor&quot;;0.00"/>
    <numFmt numFmtId="173" formatCode="0;\-0;\-"/>
    <numFmt numFmtId="174" formatCode="#,##0;\-#,##0;\-"/>
    <numFmt numFmtId="175" formatCode="0.00%;\-0.00%;\-"/>
    <numFmt numFmtId="176" formatCode="0.000;\-0.000;\-"/>
    <numFmt numFmtId="177" formatCode="0.0%"/>
    <numFmt numFmtId="178" formatCode="#,##0;\-#,##0;0"/>
    <numFmt numFmtId="179" formatCode="0.00%;\-0.00%;0.00%"/>
    <numFmt numFmtId="180" formatCode="0.000"/>
    <numFmt numFmtId="181" formatCode="#,##0.00;\-#,##0.00;0"/>
  </numFmts>
  <fonts count="14">
    <font>
      <sz val="11"/>
      <color theme="1"/>
      <name val="Calibri"/>
      <family val="2"/>
      <charset val="1"/>
    </font>
    <font>
      <sz val="10"/>
      <name val="Arial"/>
      <family val="0"/>
    </font>
    <font>
      <sz val="10"/>
      <name val="Arial"/>
      <family val="0"/>
    </font>
    <font>
      <sz val="10"/>
      <name val="Arial"/>
      <family val="0"/>
    </font>
    <font>
      <b val="true"/>
      <sz val="16"/>
      <color rgb="FF1F3864"/>
      <name val="Calibri"/>
      <family val="0"/>
      <charset val="1"/>
    </font>
    <font>
      <b val="true"/>
      <sz val="11"/>
      <color rgb="FF1F3864"/>
      <name val="Calibri"/>
      <family val="0"/>
      <charset val="1"/>
    </font>
    <font>
      <b val="true"/>
      <sz val="12"/>
      <color rgb="FF1F3864"/>
      <name val="Calibri"/>
      <family val="0"/>
      <charset val="1"/>
    </font>
    <font>
      <sz val="11"/>
      <color rgb="FF000000"/>
      <name val="Calibri"/>
      <family val="0"/>
      <charset val="1"/>
    </font>
    <font>
      <sz val="11"/>
      <color rgb="FF0000FF"/>
      <name val="Calibri"/>
      <family val="0"/>
      <charset val="1"/>
    </font>
    <font>
      <i val="true"/>
      <sz val="11"/>
      <color rgb="FF595959"/>
      <name val="Calibri"/>
      <family val="0"/>
      <charset val="1"/>
    </font>
    <font>
      <b val="true"/>
      <sz val="11"/>
      <color rgb="FFFFFFFF"/>
      <name val="Calibri"/>
      <family val="0"/>
      <charset val="1"/>
    </font>
    <font>
      <sz val="10"/>
      <color rgb="FF595959"/>
      <name val="Calibri"/>
      <family val="0"/>
      <charset val="1"/>
    </font>
    <font>
      <b val="true"/>
      <sz val="11"/>
      <color rgb="FF000000"/>
      <name val="Calibri"/>
      <family val="0"/>
      <charset val="1"/>
    </font>
    <font>
      <i val="true"/>
      <sz val="10"/>
      <color rgb="FF595959"/>
      <name val="Calibri"/>
      <family val="0"/>
      <charset val="1"/>
    </font>
  </fonts>
  <fills count="6">
    <fill>
      <patternFill patternType="none"/>
    </fill>
    <fill>
      <patternFill patternType="gray125"/>
    </fill>
    <fill>
      <patternFill patternType="solid">
        <fgColor rgb="FFD9E2F3"/>
        <bgColor rgb="FFF2F2F2"/>
      </patternFill>
    </fill>
    <fill>
      <patternFill patternType="solid">
        <fgColor rgb="FFFFF2CC"/>
        <bgColor rgb="FFF2F2F2"/>
      </patternFill>
    </fill>
    <fill>
      <patternFill patternType="solid">
        <fgColor rgb="FFF2F2F2"/>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1" shrinkToFit="false"/>
      <protection locked="true" hidden="false"/>
    </xf>
    <xf numFmtId="164" fontId="7" fillId="0" borderId="0" xfId="0" applyFont="true" applyBorder="false" applyAlignment="true" applyProtection="false">
      <alignment horizontal="general" vertical="center" textRotation="0" wrapText="true" indent="1" shrinkToFit="false"/>
      <protection locked="true" hidden="false"/>
    </xf>
    <xf numFmtId="164" fontId="8" fillId="3" borderId="1" xfId="0" applyFont="true" applyBorder="true" applyAlignment="true" applyProtection="false">
      <alignment horizontal="general" vertical="center" textRotation="0" wrapText="true" indent="1" shrinkToFit="false"/>
      <protection locked="true" hidden="false"/>
    </xf>
    <xf numFmtId="164" fontId="7" fillId="4" borderId="1" xfId="0" applyFont="true" applyBorder="true" applyAlignment="true" applyProtection="false">
      <alignment horizontal="general" vertical="center" textRotation="0" wrapText="tru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3" borderId="1" xfId="0" applyFont="true" applyBorder="true" applyAlignment="true" applyProtection="false">
      <alignment horizontal="right" vertical="bottom" textRotation="0" wrapText="false" indent="0" shrinkToFit="false"/>
      <protection locked="true" hidden="false"/>
    </xf>
    <xf numFmtId="164" fontId="11" fillId="0" borderId="0" xfId="0" applyFont="true" applyBorder="false" applyAlignment="true" applyProtection="false">
      <alignment horizontal="general" vertical="center" textRotation="0" wrapText="true" indent="1" shrinkToFit="false"/>
      <protection locked="true" hidden="false"/>
    </xf>
    <xf numFmtId="165" fontId="8" fillId="3" borderId="1" xfId="0" applyFont="true" applyBorder="true" applyAlignment="true" applyProtection="false">
      <alignment horizontal="right"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right"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67" fontId="7" fillId="0" borderId="1" xfId="0" applyFont="true" applyBorder="true" applyAlignment="true" applyProtection="false">
      <alignment horizontal="right"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false" indent="0" shrinkToFit="false"/>
      <protection locked="true" hidden="false"/>
    </xf>
    <xf numFmtId="168" fontId="8" fillId="3" borderId="1" xfId="0" applyFont="true" applyBorder="true" applyAlignment="true" applyProtection="false">
      <alignment horizontal="general" vertical="center" textRotation="0" wrapText="false" indent="0" shrinkToFit="false"/>
      <protection locked="true" hidden="false"/>
    </xf>
    <xf numFmtId="169" fontId="7" fillId="0" borderId="1"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2" fillId="0" borderId="1" xfId="0" applyFont="true" applyBorder="true" applyAlignment="true" applyProtection="false">
      <alignment horizontal="general" vertical="center" textRotation="0" wrapText="false" indent="0" shrinkToFit="false"/>
      <protection locked="true" hidden="false"/>
    </xf>
    <xf numFmtId="167" fontId="12" fillId="0" borderId="1" xfId="0" applyFont="true" applyBorder="true" applyAlignment="true" applyProtection="false">
      <alignment horizontal="center" vertical="bottom" textRotation="0" wrapText="false" indent="0" shrinkToFit="false"/>
      <protection locked="true" hidden="false"/>
    </xf>
    <xf numFmtId="170" fontId="7" fillId="0" borderId="1" xfId="0" applyFont="true" applyBorder="true" applyAlignment="true" applyProtection="false">
      <alignment horizontal="center" vertical="bottom" textRotation="0" wrapText="false" indent="0" shrinkToFit="false"/>
      <protection locked="true" hidden="false"/>
    </xf>
    <xf numFmtId="171" fontId="8" fillId="3" borderId="1" xfId="0" applyFont="true" applyBorder="true" applyAlignment="true" applyProtection="false">
      <alignment horizontal="center" vertical="bottom" textRotation="0" wrapText="false" indent="0" shrinkToFit="false"/>
      <protection locked="true" hidden="false"/>
    </xf>
    <xf numFmtId="169" fontId="8" fillId="3" borderId="1" xfId="0" applyFont="true" applyBorder="true" applyAlignment="true" applyProtection="false">
      <alignment horizontal="center" vertical="bottom" textRotation="0" wrapText="false" indent="0" shrinkToFit="false"/>
      <protection locked="true" hidden="false"/>
    </xf>
    <xf numFmtId="172" fontId="7"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5" fontId="8" fillId="3" borderId="1" xfId="0" applyFont="true" applyBorder="true" applyAlignment="true" applyProtection="false">
      <alignment horizontal="center" vertical="bottom" textRotation="0" wrapText="false" indent="0" shrinkToFit="false"/>
      <protection locked="true" hidden="false"/>
    </xf>
    <xf numFmtId="165" fontId="7" fillId="0" borderId="1" xfId="0" applyFont="true" applyBorder="true" applyAlignment="true" applyProtection="false">
      <alignment horizontal="general" vertical="center"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false" indent="0" shrinkToFit="false"/>
      <protection locked="true" hidden="false"/>
    </xf>
    <xf numFmtId="173" fontId="7" fillId="0" borderId="1" xfId="0" applyFont="true" applyBorder="true" applyAlignment="true" applyProtection="false">
      <alignment horizontal="center" vertical="bottom" textRotation="0" wrapText="false" indent="0" shrinkToFit="false"/>
      <protection locked="true" hidden="false"/>
    </xf>
    <xf numFmtId="174" fontId="7" fillId="0" borderId="1" xfId="0" applyFont="true" applyBorder="true" applyAlignment="true" applyProtection="false">
      <alignment horizontal="center" vertical="bottom" textRotation="0" wrapText="false" indent="0" shrinkToFit="false"/>
      <protection locked="true" hidden="false"/>
    </xf>
    <xf numFmtId="168" fontId="12" fillId="0" borderId="1" xfId="0" applyFont="true" applyBorder="true" applyAlignment="true" applyProtection="false">
      <alignment horizontal="general" vertical="center" textRotation="0" wrapText="fals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6" fontId="8" fillId="3" borderId="1" xfId="0" applyFont="true" applyBorder="true" applyAlignment="true" applyProtection="false">
      <alignment horizontal="general" vertical="center" textRotation="0" wrapText="false" indent="0" shrinkToFit="false"/>
      <protection locked="true" hidden="false"/>
    </xf>
    <xf numFmtId="165" fontId="8" fillId="3" borderId="1" xfId="0" applyFont="true" applyBorder="true" applyAlignment="true" applyProtection="false">
      <alignment horizontal="general" vertical="center" textRotation="0" wrapText="false" indent="0" shrinkToFit="false"/>
      <protection locked="true" hidden="false"/>
    </xf>
    <xf numFmtId="168" fontId="7" fillId="4" borderId="1" xfId="0" applyFont="true" applyBorder="true" applyAlignment="true" applyProtection="false">
      <alignment horizontal="general" vertical="center" textRotation="0" wrapText="false" indent="0" shrinkToFit="false"/>
      <protection locked="true" hidden="false"/>
    </xf>
    <xf numFmtId="171" fontId="7" fillId="4" borderId="1" xfId="0" applyFont="true" applyBorder="true" applyAlignment="true" applyProtection="false">
      <alignment horizontal="general" vertical="center" textRotation="0" wrapText="false" indent="0" shrinkToFit="false"/>
      <protection locked="true" hidden="false"/>
    </xf>
    <xf numFmtId="169" fontId="7" fillId="4" borderId="1" xfId="0" applyFont="true" applyBorder="true" applyAlignment="true" applyProtection="false">
      <alignment horizontal="general" vertical="center" textRotation="0" wrapText="false" indent="0" shrinkToFit="false"/>
      <protection locked="true" hidden="false"/>
    </xf>
    <xf numFmtId="167" fontId="7" fillId="4" borderId="1" xfId="0" applyFont="true" applyBorder="true" applyAlignment="true" applyProtection="false">
      <alignment horizontal="center"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7" fillId="4" borderId="1" xfId="0" applyFont="true" applyBorder="true" applyAlignment="true" applyProtection="false">
      <alignment horizontal="general" vertical="center" textRotation="0" wrapText="false" indent="0" shrinkToFit="false"/>
      <protection locked="true" hidden="false"/>
    </xf>
    <xf numFmtId="175" fontId="7" fillId="4" borderId="1" xfId="0" applyFont="true" applyBorder="true" applyAlignment="true" applyProtection="false">
      <alignment horizontal="general" vertical="center" textRotation="0" wrapText="false" indent="0" shrinkToFit="false"/>
      <protection locked="true" hidden="false"/>
    </xf>
    <xf numFmtId="176" fontId="7" fillId="4" borderId="1" xfId="0" applyFont="true" applyBorder="true" applyAlignment="true" applyProtection="false">
      <alignment horizontal="general" vertical="center" textRotation="0" wrapText="false" indent="0" shrinkToFit="false"/>
      <protection locked="true" hidden="false"/>
    </xf>
    <xf numFmtId="174" fontId="7" fillId="4" borderId="1" xfId="0" applyFont="true" applyBorder="true" applyAlignment="true" applyProtection="false">
      <alignment horizontal="general" vertical="center" textRotation="0" wrapText="false" indent="0" shrinkToFit="false"/>
      <protection locked="true" hidden="false"/>
    </xf>
    <xf numFmtId="167" fontId="7" fillId="0" borderId="1" xfId="0" applyFont="true" applyBorder="tru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1" shrinkToFit="false"/>
      <protection locked="true" hidden="false"/>
    </xf>
    <xf numFmtId="168" fontId="7" fillId="0" borderId="1" xfId="0" applyFont="true" applyBorder="true" applyAlignment="true" applyProtection="false">
      <alignment horizontal="general" vertical="center" textRotation="0" wrapText="false" indent="0" shrinkToFit="false"/>
      <protection locked="true" hidden="false"/>
    </xf>
    <xf numFmtId="177" fontId="7" fillId="0" borderId="1" xfId="0" applyFont="true" applyBorder="true" applyAlignment="true" applyProtection="false">
      <alignment horizontal="general" vertical="center" textRotation="0" wrapText="false" indent="0" shrinkToFit="false"/>
      <protection locked="true" hidden="false"/>
    </xf>
    <xf numFmtId="178" fontId="7" fillId="0" borderId="1" xfId="0" applyFont="true" applyBorder="true" applyAlignment="true" applyProtection="false">
      <alignment horizontal="general" vertical="center" textRotation="0" wrapText="false" indent="0" shrinkToFit="false"/>
      <protection locked="true" hidden="false"/>
    </xf>
    <xf numFmtId="179" fontId="7" fillId="0" borderId="1" xfId="0" applyFont="true" applyBorder="true" applyAlignment="true" applyProtection="false">
      <alignment horizontal="general" vertical="center" textRotation="0" wrapText="false" indent="0" shrinkToFit="false"/>
      <protection locked="true" hidden="false"/>
    </xf>
    <xf numFmtId="180" fontId="7" fillId="0" borderId="1" xfId="0" applyFont="true" applyBorder="true" applyAlignment="true" applyProtection="false">
      <alignment horizontal="general" vertical="center" textRotation="0" wrapText="false" indent="0" shrinkToFit="false"/>
      <protection locked="true" hidden="false"/>
    </xf>
    <xf numFmtId="178" fontId="12" fillId="0" borderId="1" xfId="0" applyFont="true" applyBorder="true" applyAlignment="true" applyProtection="false">
      <alignment horizontal="general" vertical="center" textRotation="0" wrapText="false" indent="0" shrinkToFit="false"/>
      <protection locked="true" hidden="false"/>
    </xf>
    <xf numFmtId="167" fontId="7" fillId="0" borderId="1" xfId="0" applyFont="true" applyBorder="true" applyAlignment="true" applyProtection="false">
      <alignment horizontal="center" vertical="bottom" textRotation="0" wrapText="false" indent="0" shrinkToFit="false"/>
      <protection locked="true" hidden="false"/>
    </xf>
    <xf numFmtId="167" fontId="12" fillId="0" borderId="1" xfId="0" applyFont="true" applyBorder="true" applyAlignment="true" applyProtection="false">
      <alignment horizontal="general" vertical="center" textRotation="0" wrapText="false" indent="0" shrinkToFit="false"/>
      <protection locked="true" hidden="false"/>
    </xf>
    <xf numFmtId="165" fontId="12" fillId="0" borderId="1" xfId="0" applyFont="true" applyBorder="true" applyAlignment="true" applyProtection="false">
      <alignment horizontal="general" vertical="center" textRotation="0" wrapText="false" indent="0" shrinkToFit="false"/>
      <protection locked="true" hidden="false"/>
    </xf>
    <xf numFmtId="177" fontId="12" fillId="0" borderId="1" xfId="0" applyFont="true" applyBorder="true" applyAlignment="true" applyProtection="false">
      <alignment horizontal="general" vertical="center" textRotation="0" wrapText="false" indent="0" shrinkToFit="false"/>
      <protection locked="true" hidden="false"/>
    </xf>
    <xf numFmtId="166" fontId="7" fillId="0" borderId="1"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true" indent="1"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81" fontId="7"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Calibri"/>
        <charset val="1"/>
        <family val="0"/>
        <color rgb="FF808080"/>
        <sz val="11"/>
      </font>
    </dxf>
    <dxf>
      <font>
        <name val="Calibri"/>
        <charset val="1"/>
        <family val="0"/>
        <b val="1"/>
        <color rgb="FF9C0006"/>
        <sz val="11"/>
      </font>
    </dxf>
    <dxf>
      <font>
        <name val="Calibri"/>
        <charset val="1"/>
        <family val="0"/>
        <b val="1"/>
        <color rgb="FF9C0006"/>
      </font>
      <fill>
        <patternFill>
          <bgColor rgb="FFFFC7CE"/>
        </patternFill>
      </fill>
    </dxf>
    <dxf>
      <font>
        <name val="Calibri"/>
        <charset val="1"/>
        <family val="0"/>
        <b val="1"/>
        <color rgb="FF006100"/>
      </font>
      <fill>
        <patternFill>
          <bgColor rgb="FFC6EFCE"/>
        </patternFill>
      </fill>
    </dxf>
    <dxf>
      <font>
        <name val="Calibri"/>
        <charset val="1"/>
        <family val="0"/>
        <b val="1"/>
        <color rgb="FF9C5700"/>
      </font>
      <fill>
        <patternFill>
          <bgColor rgb="FFFFEB9C"/>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595959"/>
      <rgbColor rgb="FF969696"/>
      <rgbColor rgb="FF1F3864"/>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9.7" hidden="false" customHeight="false" outlineLevel="0" collapsed="false">
      <c r="A1" s="1" t="s">
        <v>0</v>
      </c>
    </row>
    <row r="2" customFormat="false" ht="15" hidden="false" customHeight="false" outlineLevel="0" collapsed="false">
      <c r="A2" s="2" t="s">
        <v>1</v>
      </c>
    </row>
    <row r="4" customFormat="false" ht="21.75" hidden="false" customHeight="true" outlineLevel="0" collapsed="false">
      <c r="A4" s="3" t="s">
        <v>2</v>
      </c>
    </row>
    <row r="5" customFormat="false" ht="55.5" hidden="false" customHeight="true" outlineLevel="0" collapsed="false">
      <c r="A5" s="4" t="s">
        <v>3</v>
      </c>
    </row>
    <row r="6" customFormat="false" ht="37.5" hidden="false" customHeight="true" outlineLevel="0" collapsed="false">
      <c r="A6" s="4" t="s">
        <v>4</v>
      </c>
    </row>
    <row r="7" customFormat="false" ht="21.75" hidden="false" customHeight="true" outlineLevel="0" collapsed="false">
      <c r="A7" s="3" t="s">
        <v>5</v>
      </c>
    </row>
    <row r="8" customFormat="false" ht="19.5" hidden="false" customHeight="true" outlineLevel="0" collapsed="false">
      <c r="A8" s="5" t="s">
        <v>6</v>
      </c>
    </row>
    <row r="9" customFormat="false" ht="19.5" hidden="false" customHeight="true" outlineLevel="0" collapsed="false">
      <c r="A9" s="6" t="s">
        <v>7</v>
      </c>
    </row>
    <row r="10" customFormat="false" ht="19.5" hidden="false" customHeight="true" outlineLevel="0" collapsed="false">
      <c r="A10" s="4" t="s">
        <v>8</v>
      </c>
    </row>
    <row r="11" customFormat="false" ht="21.75" hidden="false" customHeight="true" outlineLevel="0" collapsed="false">
      <c r="A11" s="3" t="s">
        <v>9</v>
      </c>
    </row>
    <row r="12" customFormat="false" ht="37.5" hidden="false" customHeight="true" outlineLevel="0" collapsed="false">
      <c r="A12" s="4" t="s">
        <v>10</v>
      </c>
    </row>
    <row r="13" customFormat="false" ht="37.5" hidden="false" customHeight="true" outlineLevel="0" collapsed="false">
      <c r="A13" s="4" t="s">
        <v>11</v>
      </c>
    </row>
    <row r="14" customFormat="false" ht="19.5" hidden="false" customHeight="true" outlineLevel="0" collapsed="false">
      <c r="A14" s="4" t="s">
        <v>12</v>
      </c>
    </row>
    <row r="15" customFormat="false" ht="37.5" hidden="false" customHeight="true" outlineLevel="0" collapsed="false">
      <c r="A15" s="4" t="s">
        <v>13</v>
      </c>
    </row>
    <row r="16" customFormat="false" ht="37.5" hidden="false" customHeight="true" outlineLevel="0" collapsed="false">
      <c r="A16" s="4" t="s">
        <v>14</v>
      </c>
    </row>
    <row r="17" customFormat="false" ht="19.5" hidden="false" customHeight="true" outlineLevel="0" collapsed="false">
      <c r="A17" s="4" t="s">
        <v>15</v>
      </c>
    </row>
    <row r="18" customFormat="false" ht="21.75" hidden="false" customHeight="true" outlineLevel="0" collapsed="false">
      <c r="A18" s="3" t="s">
        <v>16</v>
      </c>
    </row>
    <row r="19" customFormat="false" ht="37.5" hidden="false" customHeight="true" outlineLevel="0" collapsed="false">
      <c r="A19" s="4" t="s">
        <v>17</v>
      </c>
    </row>
    <row r="20" customFormat="false" ht="55.5" hidden="false" customHeight="true" outlineLevel="0" collapsed="false">
      <c r="A20" s="4" t="s">
        <v>18</v>
      </c>
    </row>
    <row r="21" customFormat="false" ht="55.5" hidden="false" customHeight="true" outlineLevel="0" collapsed="false">
      <c r="A21" s="4" t="s">
        <v>19</v>
      </c>
    </row>
    <row r="22" customFormat="false" ht="37.5" hidden="false" customHeight="true" outlineLevel="0" collapsed="false">
      <c r="A22" s="4" t="s">
        <v>20</v>
      </c>
    </row>
    <row r="23" customFormat="false" ht="73.5" hidden="false" customHeight="true" outlineLevel="0" collapsed="false">
      <c r="A23" s="4" t="s">
        <v>21</v>
      </c>
    </row>
    <row r="24" customFormat="false" ht="21.75" hidden="false" customHeight="true" outlineLevel="0" collapsed="false">
      <c r="A24" s="3" t="s">
        <v>22</v>
      </c>
    </row>
    <row r="25" customFormat="false" ht="55.5" hidden="false" customHeight="true" outlineLevel="0" collapsed="false">
      <c r="A25" s="4" t="s">
        <v>23</v>
      </c>
    </row>
    <row r="26" customFormat="false" ht="37.5" hidden="false" customHeight="true" outlineLevel="0" collapsed="false">
      <c r="A26" s="4" t="s">
        <v>24</v>
      </c>
    </row>
    <row r="27" customFormat="false" ht="21.75" hidden="false" customHeight="true" outlineLevel="0" collapsed="false">
      <c r="A27" s="3" t="s">
        <v>25</v>
      </c>
    </row>
    <row r="28" customFormat="false" ht="19.5" hidden="false" customHeight="true" outlineLevel="0" collapsed="false">
      <c r="A28" s="4" t="s">
        <v>26</v>
      </c>
    </row>
  </sheetData>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4"/>
    <col collapsed="false" customWidth="true" hidden="false" outlineLevel="0" max="3" min="3" style="0" width="90"/>
  </cols>
  <sheetData>
    <row r="1" customFormat="false" ht="19.7" hidden="false" customHeight="false" outlineLevel="0" collapsed="false">
      <c r="A1" s="1" t="s">
        <v>27</v>
      </c>
    </row>
    <row r="2" customFormat="false" ht="15" hidden="false" customHeight="false" outlineLevel="0" collapsed="false">
      <c r="A2" s="7" t="s">
        <v>28</v>
      </c>
    </row>
    <row r="4" customFormat="false" ht="15" hidden="false" customHeight="false" outlineLevel="0" collapsed="false">
      <c r="A4" s="8" t="s">
        <v>29</v>
      </c>
      <c r="B4" s="8" t="s">
        <v>30</v>
      </c>
      <c r="C4" s="8" t="s">
        <v>31</v>
      </c>
    </row>
    <row r="5" customFormat="false" ht="19.5" hidden="false" customHeight="true" outlineLevel="0" collapsed="false">
      <c r="A5" s="9" t="s">
        <v>32</v>
      </c>
      <c r="B5" s="10" t="s">
        <v>33</v>
      </c>
      <c r="C5" s="11" t="s">
        <v>34</v>
      </c>
    </row>
    <row r="6" customFormat="false" ht="19.5" hidden="false" customHeight="true" outlineLevel="0" collapsed="false">
      <c r="A6" s="9" t="s">
        <v>35</v>
      </c>
      <c r="B6" s="10" t="s">
        <v>36</v>
      </c>
      <c r="C6" s="11" t="s">
        <v>37</v>
      </c>
    </row>
    <row r="7" customFormat="false" ht="30" hidden="false" customHeight="true" outlineLevel="0" collapsed="false">
      <c r="A7" s="9" t="s">
        <v>38</v>
      </c>
      <c r="B7" s="10" t="s">
        <v>39</v>
      </c>
      <c r="C7" s="11" t="s">
        <v>40</v>
      </c>
    </row>
    <row r="8" customFormat="false" ht="19.5" hidden="false" customHeight="true" outlineLevel="0" collapsed="false">
      <c r="A8" s="9" t="s">
        <v>41</v>
      </c>
      <c r="B8" s="12" t="n">
        <v>0.03</v>
      </c>
      <c r="C8" s="11" t="s">
        <v>42</v>
      </c>
    </row>
    <row r="9" customFormat="false" ht="19.5" hidden="false" customHeight="true" outlineLevel="0" collapsed="false">
      <c r="A9" s="9" t="s">
        <v>43</v>
      </c>
      <c r="B9" s="12" t="n">
        <v>0.001</v>
      </c>
      <c r="C9" s="11" t="s">
        <v>44</v>
      </c>
    </row>
    <row r="10" customFormat="false" ht="19.5" hidden="false" customHeight="true" outlineLevel="0" collapsed="false">
      <c r="A10" s="9" t="s">
        <v>45</v>
      </c>
      <c r="B10" s="10" t="s">
        <v>46</v>
      </c>
      <c r="C10" s="11" t="s">
        <v>47</v>
      </c>
    </row>
    <row r="11" customFormat="false" ht="19.5" hidden="false" customHeight="true" outlineLevel="0" collapsed="false"/>
    <row r="12" customFormat="false" ht="19.5" hidden="false" customHeight="true" outlineLevel="0" collapsed="false">
      <c r="A12" s="13" t="s">
        <v>48</v>
      </c>
      <c r="B12" s="14"/>
      <c r="C12" s="14"/>
    </row>
    <row r="13" customFormat="false" ht="19.5" hidden="false" customHeight="true" outlineLevel="0" collapsed="false">
      <c r="A13" s="9" t="s">
        <v>49</v>
      </c>
      <c r="B13" s="15" t="n">
        <v>46023</v>
      </c>
      <c r="C13" s="11" t="s">
        <v>50</v>
      </c>
    </row>
    <row r="14" customFormat="false" ht="19.5" hidden="false" customHeight="true" outlineLevel="0" collapsed="false">
      <c r="A14" s="9" t="s">
        <v>51</v>
      </c>
      <c r="B14" s="15" t="n">
        <v>46387</v>
      </c>
      <c r="C14" s="11" t="s">
        <v>52</v>
      </c>
    </row>
    <row r="15" customFormat="false" ht="19.5" hidden="false" customHeight="true" outlineLevel="0" collapsed="false">
      <c r="A15" s="9" t="s">
        <v>53</v>
      </c>
      <c r="B15" s="15" t="n">
        <v>46296</v>
      </c>
      <c r="C15" s="11" t="s">
        <v>54</v>
      </c>
    </row>
    <row r="16" customFormat="false" ht="19.5" hidden="false" customHeight="true" outlineLevel="0" collapsed="false">
      <c r="A16" s="9" t="s">
        <v>55</v>
      </c>
      <c r="B16" s="15" t="n">
        <v>46388</v>
      </c>
      <c r="C16" s="11" t="s">
        <v>56</v>
      </c>
    </row>
    <row r="17" customFormat="false" ht="19.5" hidden="false" customHeight="true" outlineLevel="0" collapsed="false">
      <c r="A17" s="9" t="s">
        <v>57</v>
      </c>
      <c r="B17" s="15" t="n">
        <v>46388</v>
      </c>
      <c r="C17" s="11" t="s">
        <v>58</v>
      </c>
    </row>
    <row r="18" customFormat="false" ht="19.5" hidden="false" customHeight="true" outlineLevel="0" collapsed="false">
      <c r="A18" s="9" t="s">
        <v>59</v>
      </c>
      <c r="B18" s="15" t="n">
        <v>46752</v>
      </c>
      <c r="C18" s="11" t="s">
        <v>60</v>
      </c>
    </row>
    <row r="19" customFormat="false" ht="19.5" hidden="false" customHeight="true" outlineLevel="0" collapsed="false"/>
    <row r="20" customFormat="false" ht="19.5" hidden="false" customHeight="true" outlineLevel="0" collapsed="false">
      <c r="A20" s="13" t="s">
        <v>61</v>
      </c>
      <c r="B20" s="14"/>
      <c r="C20" s="14"/>
    </row>
    <row r="21" customFormat="false" ht="30" hidden="false" customHeight="true" outlineLevel="0" collapsed="false">
      <c r="A21" s="9" t="s">
        <v>62</v>
      </c>
      <c r="B21" s="10" t="s">
        <v>63</v>
      </c>
      <c r="C21" s="11" t="s">
        <v>64</v>
      </c>
    </row>
    <row r="22" customFormat="false" ht="19.5" hidden="false" customHeight="true" outlineLevel="0" collapsed="false">
      <c r="A22" s="9" t="s">
        <v>65</v>
      </c>
      <c r="B22" s="16" t="n">
        <v>15</v>
      </c>
      <c r="C22" s="11" t="s">
        <v>66</v>
      </c>
    </row>
    <row r="23" customFormat="false" ht="19.5" hidden="false" customHeight="true" outlineLevel="0" collapsed="false">
      <c r="A23" s="9" t="s">
        <v>67</v>
      </c>
      <c r="B23" s="17" t="n">
        <f aca="false">(YEAR(PeriodEnd)-YEAR(PeriodStart))*12+MONTH(PeriodEnd)-MONTH(PeriodStart)+1</f>
        <v>12</v>
      </c>
      <c r="C23" s="11" t="s">
        <v>68</v>
      </c>
    </row>
  </sheetData>
  <dataValidations count="6">
    <dataValidation allowBlank="false" error="Choose one of the listed values." errorStyle="stop" errorTitle="Pick from the list" operator="between" showDropDown="false" showErrorMessage="true" showInputMessage="false" sqref="B7" type="list">
      <formula1>"Compa-ratio,Position in range"</formula1>
      <formula2>0</formula2>
    </dataValidation>
    <dataValidation allowBlank="false" error="Choose one of the listed values." errorStyle="stop" errorTitle="Pick from the list" operator="between" showDropDown="false" showErrorMessage="true" showInputMessage="false" sqref="B10" type="list">
      <formula1>"Yes,No"</formula1>
      <formula2>0</formula2>
    </dataValidation>
    <dataValidation allowBlank="false" error="Enter a date after 2000-01-01." errorStyle="stop" errorTitle="Date needed" operator="greaterThan" showDropDown="false" showErrorMessage="true" showInputMessage="false" sqref="B13:B18" type="date">
      <formula1>36526</formula1>
      <formula2>0</formula2>
    </dataValidation>
    <dataValidation allowBlank="false" error="Choose one of the listed values." errorStyle="stop" errorTitle="Pick from the list" operator="between" showDropDown="false" showErrorMessage="true" showInputMessage="false" sqref="B21" type="list">
      <formula1>"None,Monthly,Daily"</formula1>
      <formula2>0</formula2>
    </dataValidation>
    <dataValidation allowBlank="false" error="Enter a whole number from 1 to 31." errorStyle="stop" errorTitle="Day of month" operator="between" showDropDown="false" showErrorMessage="true" showInputMessage="false" sqref="B22" type="whole">
      <formula1>1</formula1>
      <formula2>31</formula2>
    </dataValidation>
    <dataValidation allowBlank="false" error="Enter a percentage between 0% and 100%." errorStyle="stop" errorTitle="Percent" operator="between" showDropDown="false" showErrorMessage="true" showInputMessage="false" sqref="B8:B9" type="decimal">
      <formula1>0</formula1>
      <formula2>1</formula2>
    </dataValidation>
  </dataValidations>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4" min="2" style="0" width="18"/>
    <col collapsed="false" customWidth="true" hidden="false" outlineLevel="0" max="5" min="5" style="0" width="22"/>
    <col collapsed="false" customWidth="true" hidden="false" outlineLevel="0" max="6" min="6" style="0" width="12"/>
  </cols>
  <sheetData>
    <row r="1" customFormat="false" ht="19.7" hidden="false" customHeight="false" outlineLevel="0" collapsed="false">
      <c r="A1" s="1" t="s">
        <v>69</v>
      </c>
    </row>
    <row r="2" customFormat="false" ht="15" hidden="false" customHeight="false" outlineLevel="0" collapsed="false">
      <c r="A2" s="7" t="s">
        <v>70</v>
      </c>
    </row>
    <row r="4" customFormat="false" ht="31.5" hidden="false" customHeight="true" outlineLevel="0" collapsed="false">
      <c r="A4" s="8" t="s">
        <v>71</v>
      </c>
      <c r="B4" s="8" t="s">
        <v>72</v>
      </c>
      <c r="C4" s="8" t="s">
        <v>73</v>
      </c>
      <c r="D4" s="8" t="s">
        <v>74</v>
      </c>
      <c r="E4" s="8" t="s">
        <v>75</v>
      </c>
      <c r="F4" s="8" t="s">
        <v>76</v>
      </c>
    </row>
    <row r="5" customFormat="false" ht="15" hidden="false" customHeight="false" outlineLevel="0" collapsed="false">
      <c r="A5" s="18" t="s">
        <v>77</v>
      </c>
      <c r="B5" s="19" t="n">
        <v>40000</v>
      </c>
      <c r="C5" s="19" t="n">
        <v>50000</v>
      </c>
      <c r="D5" s="19" t="n">
        <v>60000</v>
      </c>
      <c r="E5" s="20" t="n">
        <f aca="false">IF(OR(A5="",NOT(ISNUMBER(B5)),NOT(ISNUMBER(D5))),"",IF(B5&gt;0,D5/B5-1,""))</f>
        <v>0.5</v>
      </c>
      <c r="F5" s="21" t="str">
        <f aca="false">IF(A5="","",IF(AND(ISNUMBER(B5),ISNUMBER(C5),ISNUMBER(D5)),IF(AND(B5&lt;C5,C5&lt;D5),"OK","CHECK"),"CHECK"))</f>
        <v>OK</v>
      </c>
    </row>
    <row r="6" customFormat="false" ht="15" hidden="false" customHeight="false" outlineLevel="0" collapsed="false">
      <c r="A6" s="18" t="s">
        <v>78</v>
      </c>
      <c r="B6" s="19" t="n">
        <v>50000</v>
      </c>
      <c r="C6" s="19" t="n">
        <v>62500</v>
      </c>
      <c r="D6" s="19" t="n">
        <v>75000</v>
      </c>
      <c r="E6" s="20" t="n">
        <f aca="false">IF(OR(A6="",NOT(ISNUMBER(B6)),NOT(ISNUMBER(D6))),"",IF(B6&gt;0,D6/B6-1,""))</f>
        <v>0.5</v>
      </c>
      <c r="F6" s="21" t="str">
        <f aca="false">IF(A6="","",IF(AND(ISNUMBER(B6),ISNUMBER(C6),ISNUMBER(D6)),IF(AND(B6&lt;C6,C6&lt;D6),"OK","CHECK"),"CHECK"))</f>
        <v>OK</v>
      </c>
    </row>
    <row r="7" customFormat="false" ht="15" hidden="false" customHeight="false" outlineLevel="0" collapsed="false">
      <c r="A7" s="18" t="s">
        <v>79</v>
      </c>
      <c r="B7" s="19" t="n">
        <v>62000</v>
      </c>
      <c r="C7" s="19" t="n">
        <v>77500</v>
      </c>
      <c r="D7" s="19" t="n">
        <v>93000</v>
      </c>
      <c r="E7" s="20" t="n">
        <f aca="false">IF(OR(A7="",NOT(ISNUMBER(B7)),NOT(ISNUMBER(D7))),"",IF(B7&gt;0,D7/B7-1,""))</f>
        <v>0.5</v>
      </c>
      <c r="F7" s="21" t="str">
        <f aca="false">IF(A7="","",IF(AND(ISNUMBER(B7),ISNUMBER(C7),ISNUMBER(D7)),IF(AND(B7&lt;C7,C7&lt;D7),"OK","CHECK"),"CHECK"))</f>
        <v>OK</v>
      </c>
    </row>
    <row r="8" customFormat="false" ht="15" hidden="false" customHeight="false" outlineLevel="0" collapsed="false">
      <c r="A8" s="18" t="s">
        <v>80</v>
      </c>
      <c r="B8" s="19" t="n">
        <v>78000</v>
      </c>
      <c r="C8" s="19" t="n">
        <v>97500</v>
      </c>
      <c r="D8" s="19" t="n">
        <v>117000</v>
      </c>
      <c r="E8" s="20" t="n">
        <f aca="false">IF(OR(A8="",NOT(ISNUMBER(B8)),NOT(ISNUMBER(D8))),"",IF(B8&gt;0,D8/B8-1,""))</f>
        <v>0.5</v>
      </c>
      <c r="F8" s="21" t="str">
        <f aca="false">IF(A8="","",IF(AND(ISNUMBER(B8),ISNUMBER(C8),ISNUMBER(D8)),IF(AND(B8&lt;C8,C8&lt;D8),"OK","CHECK"),"CHECK"))</f>
        <v>OK</v>
      </c>
    </row>
    <row r="9" customFormat="false" ht="15" hidden="false" customHeight="false" outlineLevel="0" collapsed="false">
      <c r="A9" s="18" t="s">
        <v>81</v>
      </c>
      <c r="B9" s="19" t="n">
        <v>98000</v>
      </c>
      <c r="C9" s="19" t="n">
        <v>122500</v>
      </c>
      <c r="D9" s="19" t="n">
        <v>147000</v>
      </c>
      <c r="E9" s="20" t="n">
        <f aca="false">IF(OR(A9="",NOT(ISNUMBER(B9)),NOT(ISNUMBER(D9))),"",IF(B9&gt;0,D9/B9-1,""))</f>
        <v>0.5</v>
      </c>
      <c r="F9" s="21" t="str">
        <f aca="false">IF(A9="","",IF(AND(ISNUMBER(B9),ISNUMBER(C9),ISNUMBER(D9)),IF(AND(B9&lt;C9,C9&lt;D9),"OK","CHECK"),"CHECK"))</f>
        <v>OK</v>
      </c>
    </row>
    <row r="10" customFormat="false" ht="15" hidden="false" customHeight="false" outlineLevel="0" collapsed="false">
      <c r="A10" s="18"/>
      <c r="B10" s="19"/>
      <c r="C10" s="19"/>
      <c r="D10" s="19"/>
      <c r="E10" s="20" t="str">
        <f aca="false">IF(OR(A10="",NOT(ISNUMBER(B10)),NOT(ISNUMBER(D10))),"",IF(B10&gt;0,D10/B10-1,""))</f>
        <v/>
      </c>
      <c r="F10" s="21" t="str">
        <f aca="false">IF(A10="","",IF(AND(ISNUMBER(B10),ISNUMBER(C10),ISNUMBER(D10)),IF(AND(B10&lt;C10,C10&lt;D10),"OK","CHECK"),"CHECK"))</f>
        <v/>
      </c>
    </row>
    <row r="11" customFormat="false" ht="15" hidden="false" customHeight="false" outlineLevel="0" collapsed="false">
      <c r="A11" s="18"/>
      <c r="B11" s="19"/>
      <c r="C11" s="19"/>
      <c r="D11" s="19"/>
      <c r="E11" s="20" t="str">
        <f aca="false">IF(OR(A11="",NOT(ISNUMBER(B11)),NOT(ISNUMBER(D11))),"",IF(B11&gt;0,D11/B11-1,""))</f>
        <v/>
      </c>
      <c r="F11" s="21" t="str">
        <f aca="false">IF(A11="","",IF(AND(ISNUMBER(B11),ISNUMBER(C11),ISNUMBER(D11)),IF(AND(B11&lt;C11,C11&lt;D11),"OK","CHECK"),"CHECK"))</f>
        <v/>
      </c>
    </row>
    <row r="12" customFormat="false" ht="15" hidden="false" customHeight="false" outlineLevel="0" collapsed="false">
      <c r="A12" s="18"/>
      <c r="B12" s="19"/>
      <c r="C12" s="19"/>
      <c r="D12" s="19"/>
      <c r="E12" s="20" t="str">
        <f aca="false">IF(OR(A12="",NOT(ISNUMBER(B12)),NOT(ISNUMBER(D12))),"",IF(B12&gt;0,D12/B12-1,""))</f>
        <v/>
      </c>
      <c r="F12" s="21" t="str">
        <f aca="false">IF(A12="","",IF(AND(ISNUMBER(B12),ISNUMBER(C12),ISNUMBER(D12)),IF(AND(B12&lt;C12,C12&lt;D12),"OK","CHECK"),"CHECK"))</f>
        <v/>
      </c>
    </row>
    <row r="13" customFormat="false" ht="15" hidden="false" customHeight="false" outlineLevel="0" collapsed="false">
      <c r="A13" s="18"/>
      <c r="B13" s="19"/>
      <c r="C13" s="19"/>
      <c r="D13" s="19"/>
      <c r="E13" s="20" t="str">
        <f aca="false">IF(OR(A13="",NOT(ISNUMBER(B13)),NOT(ISNUMBER(D13))),"",IF(B13&gt;0,D13/B13-1,""))</f>
        <v/>
      </c>
      <c r="F13" s="21" t="str">
        <f aca="false">IF(A13="","",IF(AND(ISNUMBER(B13),ISNUMBER(C13),ISNUMBER(D13)),IF(AND(B13&lt;C13,C13&lt;D13),"OK","CHECK"),"CHECK"))</f>
        <v/>
      </c>
    </row>
    <row r="14" customFormat="false" ht="15" hidden="false" customHeight="false" outlineLevel="0" collapsed="false">
      <c r="A14" s="18"/>
      <c r="B14" s="19"/>
      <c r="C14" s="19"/>
      <c r="D14" s="19"/>
      <c r="E14" s="20" t="str">
        <f aca="false">IF(OR(A14="",NOT(ISNUMBER(B14)),NOT(ISNUMBER(D14))),"",IF(B14&gt;0,D14/B14-1,""))</f>
        <v/>
      </c>
      <c r="F14" s="21" t="str">
        <f aca="false">IF(A14="","",IF(AND(ISNUMBER(B14),ISNUMBER(C14),ISNUMBER(D14)),IF(AND(B14&lt;C14,C14&lt;D14),"OK","CHECK"),"CHECK"))</f>
        <v/>
      </c>
    </row>
    <row r="15" customFormat="false" ht="15" hidden="false" customHeight="false" outlineLevel="0" collapsed="false">
      <c r="A15" s="18"/>
      <c r="B15" s="19"/>
      <c r="C15" s="19"/>
      <c r="D15" s="19"/>
      <c r="E15" s="20" t="str">
        <f aca="false">IF(OR(A15="",NOT(ISNUMBER(B15)),NOT(ISNUMBER(D15))),"",IF(B15&gt;0,D15/B15-1,""))</f>
        <v/>
      </c>
      <c r="F15" s="21" t="str">
        <f aca="false">IF(A15="","",IF(AND(ISNUMBER(B15),ISNUMBER(C15),ISNUMBER(D15)),IF(AND(B15&lt;C15,C15&lt;D15),"OK","CHECK"),"CHECK"))</f>
        <v/>
      </c>
    </row>
    <row r="16" customFormat="false" ht="15" hidden="false" customHeight="false" outlineLevel="0" collapsed="false">
      <c r="A16" s="18"/>
      <c r="B16" s="19"/>
      <c r="C16" s="19"/>
      <c r="D16" s="19"/>
      <c r="E16" s="20" t="str">
        <f aca="false">IF(OR(A16="",NOT(ISNUMBER(B16)),NOT(ISNUMBER(D16))),"",IF(B16&gt;0,D16/B16-1,""))</f>
        <v/>
      </c>
      <c r="F16" s="21" t="str">
        <f aca="false">IF(A16="","",IF(AND(ISNUMBER(B16),ISNUMBER(C16),ISNUMBER(D16)),IF(AND(B16&lt;C16,C16&lt;D16),"OK","CHECK"),"CHECK"))</f>
        <v/>
      </c>
    </row>
    <row r="18" customFormat="false" ht="15" hidden="false" customHeight="false" outlineLevel="0" collapsed="false">
      <c r="A18" s="22" t="s">
        <v>82</v>
      </c>
    </row>
  </sheetData>
  <dataValidations count="1">
    <dataValidation allowBlank="true" error="Enter an annual amount greater than 0." errorStyle="stop" errorTitle="Amount needed" operator="greaterThan" showDropDown="false" showErrorMessage="true" showInputMessage="false" sqref="B5:D16" type="decimal">
      <formula1>0</formula1>
      <formula2>0</formula2>
    </dataValidation>
  </dataValidations>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30"/>
    <col collapsed="false" customWidth="true" hidden="false" outlineLevel="0" max="7" min="3" style="0" width="15"/>
  </cols>
  <sheetData>
    <row r="1" customFormat="false" ht="19.7" hidden="false" customHeight="false" outlineLevel="0" collapsed="false">
      <c r="A1" s="1" t="s">
        <v>83</v>
      </c>
    </row>
    <row r="2" customFormat="false" ht="15" hidden="false" customHeight="false" outlineLevel="0" collapsed="false">
      <c r="A2" s="7" t="s">
        <v>84</v>
      </c>
    </row>
    <row r="4" customFormat="false" ht="15" hidden="false" customHeight="false" outlineLevel="0" collapsed="false">
      <c r="A4" s="23" t="s">
        <v>85</v>
      </c>
      <c r="B4" s="24" t="str">
        <f aca="false">Basis</f>
        <v>Compa-ratio</v>
      </c>
      <c r="C4" s="24"/>
    </row>
    <row r="6" customFormat="false" ht="15" hidden="false" customHeight="false" outlineLevel="0" collapsed="false">
      <c r="A6" s="23" t="s">
        <v>86</v>
      </c>
      <c r="C6" s="25" t="n">
        <v>1</v>
      </c>
      <c r="D6" s="25" t="n">
        <v>2</v>
      </c>
      <c r="E6" s="25" t="n">
        <v>3</v>
      </c>
      <c r="F6" s="25" t="n">
        <v>4</v>
      </c>
      <c r="G6" s="25" t="n">
        <v>5</v>
      </c>
    </row>
    <row r="7" customFormat="false" ht="15" hidden="false" customHeight="false" outlineLevel="0" collapsed="false">
      <c r="A7" s="9" t="s">
        <v>87</v>
      </c>
      <c r="C7" s="26" t="n">
        <v>0</v>
      </c>
      <c r="D7" s="27" t="n">
        <v>0.85</v>
      </c>
      <c r="E7" s="27" t="n">
        <v>0.95</v>
      </c>
      <c r="F7" s="27" t="n">
        <v>1.05</v>
      </c>
      <c r="G7" s="27" t="n">
        <v>1.15</v>
      </c>
    </row>
    <row r="8" customFormat="false" ht="15" hidden="false" customHeight="false" outlineLevel="0" collapsed="false">
      <c r="A8" s="9" t="s">
        <v>88</v>
      </c>
      <c r="C8" s="26" t="n">
        <v>-100</v>
      </c>
      <c r="D8" s="28" t="n">
        <v>0.2</v>
      </c>
      <c r="E8" s="28" t="n">
        <v>0.4</v>
      </c>
      <c r="F8" s="28" t="n">
        <v>0.6</v>
      </c>
      <c r="G8" s="28" t="n">
        <v>0.8</v>
      </c>
    </row>
    <row r="9" customFormat="false" ht="15" hidden="false" customHeight="false" outlineLevel="0" collapsed="false">
      <c r="A9" s="9" t="s">
        <v>89</v>
      </c>
      <c r="C9" s="26" t="n">
        <f aca="false">IF(Basis="Compa-ratio",C7,C8)</f>
        <v>0</v>
      </c>
      <c r="D9" s="29" t="n">
        <f aca="false">IF(Basis="Compa-ratio",D7,D8)</f>
        <v>0.85</v>
      </c>
      <c r="E9" s="29" t="n">
        <f aca="false">IF(Basis="Compa-ratio",E7,E8)</f>
        <v>0.95</v>
      </c>
      <c r="F9" s="29" t="n">
        <f aca="false">IF(Basis="Compa-ratio",F7,F8)</f>
        <v>1.05</v>
      </c>
      <c r="G9" s="29" t="n">
        <f aca="false">IF(Basis="Compa-ratio",G7,G8)</f>
        <v>1.15</v>
      </c>
    </row>
    <row r="10" customFormat="false" ht="31.5" hidden="false" customHeight="true" outlineLevel="0" collapsed="false">
      <c r="A10" s="9" t="s">
        <v>90</v>
      </c>
      <c r="C10" s="30" t="str">
        <f aca="false">IF(Basis="Compa-ratio","Below "&amp;TEXT(D9,"0.00"),"Below "&amp;TEXT(D9,"0%"))</f>
        <v>Below 0.85</v>
      </c>
      <c r="D10" s="30" t="str">
        <f aca="false">IF(Basis="Compa-ratio",TEXT(D9,"0.00")&amp;" to &lt;"&amp;TEXT(E9,"0.00"),TEXT(D9,"0%")&amp;" to &lt;"&amp;TEXT(E9,"0%"))</f>
        <v>0.85 to &lt;0.95</v>
      </c>
      <c r="E10" s="30" t="str">
        <f aca="false">IF(Basis="Compa-ratio",TEXT(E9,"0.00")&amp;" to &lt;"&amp;TEXT(F9,"0.00"),TEXT(E9,"0%")&amp;" to &lt;"&amp;TEXT(F9,"0%"))</f>
        <v>0.95 to &lt;1.05</v>
      </c>
      <c r="F10" s="30" t="str">
        <f aca="false">IF(Basis="Compa-ratio",TEXT(F9,"0.00")&amp;" to &lt;"&amp;TEXT(G9,"0.00"),TEXT(F9,"0%")&amp;" to &lt;"&amp;TEXT(G9,"0%"))</f>
        <v>1.05 to &lt;1.15</v>
      </c>
      <c r="G10" s="30" t="str">
        <f aca="false">IF(Basis="Compa-ratio",TEXT(G9,"0.00")&amp;" and above",TEXT(G9,"0%")&amp;" and above")</f>
        <v>1.15 and above</v>
      </c>
    </row>
    <row r="12" customFormat="false" ht="15" hidden="false" customHeight="false" outlineLevel="0" collapsed="false">
      <c r="A12" s="13" t="s">
        <v>91</v>
      </c>
      <c r="B12" s="14"/>
      <c r="C12" s="14"/>
      <c r="D12" s="14"/>
      <c r="E12" s="14"/>
      <c r="F12" s="14"/>
      <c r="G12" s="14"/>
    </row>
    <row r="13" customFormat="false" ht="31.5" hidden="false" customHeight="true" outlineLevel="0" collapsed="false">
      <c r="A13" s="8" t="s">
        <v>92</v>
      </c>
      <c r="B13" s="8" t="s">
        <v>93</v>
      </c>
      <c r="C13" s="8" t="str">
        <f aca="false">C10</f>
        <v>Below 0.85</v>
      </c>
      <c r="D13" s="8" t="str">
        <f aca="false">D10</f>
        <v>0.85 to &lt;0.95</v>
      </c>
      <c r="E13" s="8" t="str">
        <f aca="false">E10</f>
        <v>0.95 to &lt;1.05</v>
      </c>
      <c r="F13" s="8" t="str">
        <f aca="false">F10</f>
        <v>1.05 to &lt;1.15</v>
      </c>
      <c r="G13" s="8" t="str">
        <f aca="false">G10</f>
        <v>1.15 and above</v>
      </c>
    </row>
    <row r="14" customFormat="false" ht="15" hidden="false" customHeight="false" outlineLevel="0" collapsed="false">
      <c r="A14" s="25" t="n">
        <v>5</v>
      </c>
      <c r="B14" s="18" t="s">
        <v>94</v>
      </c>
      <c r="C14" s="31" t="n">
        <v>0.065</v>
      </c>
      <c r="D14" s="31" t="n">
        <v>0.06</v>
      </c>
      <c r="E14" s="31" t="n">
        <v>0.05</v>
      </c>
      <c r="F14" s="31" t="n">
        <v>0.04</v>
      </c>
      <c r="G14" s="31" t="n">
        <v>0.025</v>
      </c>
    </row>
    <row r="15" customFormat="false" ht="15" hidden="false" customHeight="false" outlineLevel="0" collapsed="false">
      <c r="A15" s="25" t="n">
        <v>4</v>
      </c>
      <c r="B15" s="18" t="s">
        <v>95</v>
      </c>
      <c r="C15" s="31" t="n">
        <v>0.055</v>
      </c>
      <c r="D15" s="31" t="n">
        <v>0.05</v>
      </c>
      <c r="E15" s="31" t="n">
        <v>0.04</v>
      </c>
      <c r="F15" s="31" t="n">
        <v>0.03</v>
      </c>
      <c r="G15" s="31" t="n">
        <v>0.02</v>
      </c>
    </row>
    <row r="16" customFormat="false" ht="15" hidden="false" customHeight="false" outlineLevel="0" collapsed="false">
      <c r="A16" s="25" t="n">
        <v>3</v>
      </c>
      <c r="B16" s="18" t="s">
        <v>96</v>
      </c>
      <c r="C16" s="31" t="n">
        <v>0.04</v>
      </c>
      <c r="D16" s="31" t="n">
        <v>0.035</v>
      </c>
      <c r="E16" s="31" t="n">
        <v>0.03</v>
      </c>
      <c r="F16" s="31" t="n">
        <v>0.02</v>
      </c>
      <c r="G16" s="31" t="n">
        <v>0.01</v>
      </c>
    </row>
    <row r="17" customFormat="false" ht="15" hidden="false" customHeight="false" outlineLevel="0" collapsed="false">
      <c r="A17" s="25" t="n">
        <v>2</v>
      </c>
      <c r="B17" s="18" t="s">
        <v>97</v>
      </c>
      <c r="C17" s="31" t="n">
        <v>0.02</v>
      </c>
      <c r="D17" s="31" t="n">
        <v>0.0125</v>
      </c>
      <c r="E17" s="31" t="n">
        <v>0.0075</v>
      </c>
      <c r="F17" s="31" t="n">
        <v>0</v>
      </c>
      <c r="G17" s="31" t="n">
        <v>0</v>
      </c>
    </row>
    <row r="18" customFormat="false" ht="15" hidden="false" customHeight="false" outlineLevel="0" collapsed="false">
      <c r="A18" s="25" t="n">
        <v>1</v>
      </c>
      <c r="B18" s="18" t="s">
        <v>98</v>
      </c>
      <c r="C18" s="31" t="n">
        <v>0</v>
      </c>
      <c r="D18" s="31" t="n">
        <v>0</v>
      </c>
      <c r="E18" s="31" t="n">
        <v>0</v>
      </c>
      <c r="F18" s="31" t="n">
        <v>0</v>
      </c>
      <c r="G18" s="31" t="n">
        <v>0</v>
      </c>
    </row>
    <row r="20" customFormat="false" ht="15" hidden="false" customHeight="false" outlineLevel="0" collapsed="false">
      <c r="A20" s="9" t="s">
        <v>99</v>
      </c>
      <c r="G20" s="32" t="n">
        <f aca="false">AVERAGE(C14:G18)</f>
        <v>0.0244</v>
      </c>
    </row>
    <row r="21" customFormat="false" ht="15" hidden="false" customHeight="false" outlineLevel="0" collapsed="false">
      <c r="A21" s="9" t="s">
        <v>100</v>
      </c>
      <c r="G21" s="32" t="n">
        <f aca="false">Budget!B16</f>
        <v>0.0296218784753817</v>
      </c>
    </row>
    <row r="22" customFormat="false" ht="15" hidden="false" customHeight="false" outlineLevel="0" collapsed="false">
      <c r="A22" s="33" t="s">
        <v>101</v>
      </c>
    </row>
    <row r="24" customFormat="false" ht="15" hidden="false" customHeight="false" outlineLevel="0" collapsed="false">
      <c r="A24" s="13" t="s">
        <v>102</v>
      </c>
      <c r="B24" s="14"/>
      <c r="C24" s="14"/>
      <c r="D24" s="14"/>
      <c r="E24" s="14"/>
      <c r="F24" s="14"/>
      <c r="G24" s="14"/>
    </row>
    <row r="25" customFormat="false" ht="31.5" hidden="false" customHeight="true" outlineLevel="0" collapsed="false">
      <c r="A25" s="8" t="s">
        <v>92</v>
      </c>
      <c r="B25" s="8" t="s">
        <v>93</v>
      </c>
      <c r="C25" s="8" t="str">
        <f aca="false">C10</f>
        <v>Below 0.85</v>
      </c>
      <c r="D25" s="8" t="str">
        <f aca="false">D10</f>
        <v>0.85 to &lt;0.95</v>
      </c>
      <c r="E25" s="8" t="str">
        <f aca="false">E10</f>
        <v>0.95 to &lt;1.05</v>
      </c>
      <c r="F25" s="8" t="str">
        <f aca="false">F10</f>
        <v>1.05 to &lt;1.15</v>
      </c>
      <c r="G25" s="8" t="str">
        <f aca="false">G10</f>
        <v>1.15 and above</v>
      </c>
    </row>
    <row r="26" customFormat="false" ht="15" hidden="false" customHeight="false" outlineLevel="0" collapsed="false">
      <c r="A26" s="25" t="n">
        <f aca="false">A14</f>
        <v>5</v>
      </c>
      <c r="B26" s="34" t="str">
        <f aca="false">B14</f>
        <v>Outstanding</v>
      </c>
      <c r="C26" s="35" t="n">
        <f aca="false">COUNTIFS(Roster!$D$5:$D$254,$A26,Roster!$O$5:$O$254,C$6,Roster!$P$5:$P$254,"Y")</f>
        <v>0</v>
      </c>
      <c r="D26" s="35" t="n">
        <f aca="false">COUNTIFS(Roster!$D$5:$D$254,$A26,Roster!$O$5:$O$254,D$6,Roster!$P$5:$P$254,"Y")</f>
        <v>2</v>
      </c>
      <c r="E26" s="35" t="n">
        <f aca="false">COUNTIFS(Roster!$D$5:$D$254,$A26,Roster!$O$5:$O$254,E$6,Roster!$P$5:$P$254,"Y")</f>
        <v>1</v>
      </c>
      <c r="F26" s="35" t="n">
        <f aca="false">COUNTIFS(Roster!$D$5:$D$254,$A26,Roster!$O$5:$O$254,F$6,Roster!$P$5:$P$254,"Y")</f>
        <v>0</v>
      </c>
      <c r="G26" s="35" t="n">
        <f aca="false">COUNTIFS(Roster!$D$5:$D$254,$A26,Roster!$O$5:$O$254,G$6,Roster!$P$5:$P$254,"Y")</f>
        <v>0</v>
      </c>
    </row>
    <row r="27" customFormat="false" ht="15" hidden="false" customHeight="false" outlineLevel="0" collapsed="false">
      <c r="A27" s="25" t="n">
        <f aca="false">A15</f>
        <v>4</v>
      </c>
      <c r="B27" s="34" t="str">
        <f aca="false">B15</f>
        <v>Exceeds expectations</v>
      </c>
      <c r="C27" s="35" t="n">
        <f aca="false">COUNTIFS(Roster!$D$5:$D$254,$A27,Roster!$O$5:$O$254,C$6,Roster!$P$5:$P$254,"Y")</f>
        <v>0</v>
      </c>
      <c r="D27" s="35" t="n">
        <f aca="false">COUNTIFS(Roster!$D$5:$D$254,$A27,Roster!$O$5:$O$254,D$6,Roster!$P$5:$P$254,"Y")</f>
        <v>3</v>
      </c>
      <c r="E27" s="35" t="n">
        <f aca="false">COUNTIFS(Roster!$D$5:$D$254,$A27,Roster!$O$5:$O$254,E$6,Roster!$P$5:$P$254,"Y")</f>
        <v>3</v>
      </c>
      <c r="F27" s="35" t="n">
        <f aca="false">COUNTIFS(Roster!$D$5:$D$254,$A27,Roster!$O$5:$O$254,F$6,Roster!$P$5:$P$254,"Y")</f>
        <v>0</v>
      </c>
      <c r="G27" s="35" t="n">
        <f aca="false">COUNTIFS(Roster!$D$5:$D$254,$A27,Roster!$O$5:$O$254,G$6,Roster!$P$5:$P$254,"Y")</f>
        <v>1</v>
      </c>
    </row>
    <row r="28" customFormat="false" ht="15" hidden="false" customHeight="false" outlineLevel="0" collapsed="false">
      <c r="A28" s="25" t="n">
        <f aca="false">A16</f>
        <v>3</v>
      </c>
      <c r="B28" s="34" t="str">
        <f aca="false">B16</f>
        <v>Meets expectations</v>
      </c>
      <c r="C28" s="35" t="n">
        <f aca="false">COUNTIFS(Roster!$D$5:$D$254,$A28,Roster!$O$5:$O$254,C$6,Roster!$P$5:$P$254,"Y")</f>
        <v>0</v>
      </c>
      <c r="D28" s="35" t="n">
        <f aca="false">COUNTIFS(Roster!$D$5:$D$254,$A28,Roster!$O$5:$O$254,D$6,Roster!$P$5:$P$254,"Y")</f>
        <v>4</v>
      </c>
      <c r="E28" s="35" t="n">
        <f aca="false">COUNTIFS(Roster!$D$5:$D$254,$A28,Roster!$O$5:$O$254,E$6,Roster!$P$5:$P$254,"Y")</f>
        <v>1</v>
      </c>
      <c r="F28" s="35" t="n">
        <f aca="false">COUNTIFS(Roster!$D$5:$D$254,$A28,Roster!$O$5:$O$254,F$6,Roster!$P$5:$P$254,"Y")</f>
        <v>1</v>
      </c>
      <c r="G28" s="35" t="n">
        <f aca="false">COUNTIFS(Roster!$D$5:$D$254,$A28,Roster!$O$5:$O$254,G$6,Roster!$P$5:$P$254,"Y")</f>
        <v>2</v>
      </c>
    </row>
    <row r="29" customFormat="false" ht="15" hidden="false" customHeight="false" outlineLevel="0" collapsed="false">
      <c r="A29" s="25" t="n">
        <f aca="false">A17</f>
        <v>2</v>
      </c>
      <c r="B29" s="34" t="str">
        <f aca="false">B17</f>
        <v>Partially meets expectations</v>
      </c>
      <c r="C29" s="35" t="n">
        <f aca="false">COUNTIFS(Roster!$D$5:$D$254,$A29,Roster!$O$5:$O$254,C$6,Roster!$P$5:$P$254,"Y")</f>
        <v>0</v>
      </c>
      <c r="D29" s="35" t="n">
        <f aca="false">COUNTIFS(Roster!$D$5:$D$254,$A29,Roster!$O$5:$O$254,D$6,Roster!$P$5:$P$254,"Y")</f>
        <v>0</v>
      </c>
      <c r="E29" s="35" t="n">
        <f aca="false">COUNTIFS(Roster!$D$5:$D$254,$A29,Roster!$O$5:$O$254,E$6,Roster!$P$5:$P$254,"Y")</f>
        <v>1</v>
      </c>
      <c r="F29" s="35" t="n">
        <f aca="false">COUNTIFS(Roster!$D$5:$D$254,$A29,Roster!$O$5:$O$254,F$6,Roster!$P$5:$P$254,"Y")</f>
        <v>1</v>
      </c>
      <c r="G29" s="35" t="n">
        <f aca="false">COUNTIFS(Roster!$D$5:$D$254,$A29,Roster!$O$5:$O$254,G$6,Roster!$P$5:$P$254,"Y")</f>
        <v>0</v>
      </c>
    </row>
    <row r="30" customFormat="false" ht="15" hidden="false" customHeight="false" outlineLevel="0" collapsed="false">
      <c r="A30" s="25" t="n">
        <f aca="false">A18</f>
        <v>1</v>
      </c>
      <c r="B30" s="34" t="str">
        <f aca="false">B18</f>
        <v>Does not meet expectations</v>
      </c>
      <c r="C30" s="35" t="n">
        <f aca="false">COUNTIFS(Roster!$D$5:$D$254,$A30,Roster!$O$5:$O$254,C$6,Roster!$P$5:$P$254,"Y")</f>
        <v>0</v>
      </c>
      <c r="D30" s="35" t="n">
        <f aca="false">COUNTIFS(Roster!$D$5:$D$254,$A30,Roster!$O$5:$O$254,D$6,Roster!$P$5:$P$254,"Y")</f>
        <v>0</v>
      </c>
      <c r="E30" s="35" t="n">
        <f aca="false">COUNTIFS(Roster!$D$5:$D$254,$A30,Roster!$O$5:$O$254,E$6,Roster!$P$5:$P$254,"Y")</f>
        <v>1</v>
      </c>
      <c r="F30" s="35" t="n">
        <f aca="false">COUNTIFS(Roster!$D$5:$D$254,$A30,Roster!$O$5:$O$254,F$6,Roster!$P$5:$P$254,"Y")</f>
        <v>0</v>
      </c>
      <c r="G30" s="35" t="n">
        <f aca="false">COUNTIFS(Roster!$D$5:$D$254,$A30,Roster!$O$5:$O$254,G$6,Roster!$P$5:$P$254,"Y")</f>
        <v>0</v>
      </c>
    </row>
    <row r="32" customFormat="false" ht="15" hidden="false" customHeight="false" outlineLevel="0" collapsed="false">
      <c r="A32" s="13" t="s">
        <v>103</v>
      </c>
      <c r="B32" s="14"/>
      <c r="C32" s="14"/>
      <c r="D32" s="14"/>
      <c r="E32" s="14"/>
      <c r="F32" s="14"/>
      <c r="G32" s="14"/>
    </row>
    <row r="33" customFormat="false" ht="31.5" hidden="false" customHeight="true" outlineLevel="0" collapsed="false">
      <c r="A33" s="8" t="s">
        <v>92</v>
      </c>
      <c r="B33" s="8" t="s">
        <v>93</v>
      </c>
      <c r="C33" s="8" t="str">
        <f aca="false">C10</f>
        <v>Below 0.85</v>
      </c>
      <c r="D33" s="8" t="str">
        <f aca="false">D10</f>
        <v>0.85 to &lt;0.95</v>
      </c>
      <c r="E33" s="8" t="str">
        <f aca="false">E10</f>
        <v>0.95 to &lt;1.05</v>
      </c>
      <c r="F33" s="8" t="str">
        <f aca="false">F10</f>
        <v>1.05 to &lt;1.15</v>
      </c>
      <c r="G33" s="8" t="str">
        <f aca="false">G10</f>
        <v>1.15 and above</v>
      </c>
    </row>
    <row r="34" customFormat="false" ht="15" hidden="false" customHeight="false" outlineLevel="0" collapsed="false">
      <c r="A34" s="25" t="n">
        <f aca="false">A14</f>
        <v>5</v>
      </c>
      <c r="B34" s="34" t="str">
        <f aca="false">B14</f>
        <v>Outstanding</v>
      </c>
      <c r="C34" s="36" t="n">
        <f aca="false">SUMIFS(Roster!$Y$5:$Y$254,Roster!$D$5:$D$254,$A34,Roster!$O$5:$O$254,C$6,Roster!$P$5:$P$254,"Y")</f>
        <v>0</v>
      </c>
      <c r="D34" s="36" t="n">
        <f aca="false">SUMIFS(Roster!$Y$5:$Y$254,Roster!$D$5:$D$254,$A34,Roster!$O$5:$O$254,D$6,Roster!$P$5:$P$254,"Y")</f>
        <v>7560</v>
      </c>
      <c r="E34" s="36" t="n">
        <f aca="false">SUMIFS(Roster!$Y$5:$Y$254,Roster!$D$5:$D$254,$A34,Roster!$O$5:$O$254,E$6,Roster!$P$5:$P$254,"Y")</f>
        <v>5760</v>
      </c>
      <c r="F34" s="36" t="n">
        <f aca="false">SUMIFS(Roster!$Y$5:$Y$254,Roster!$D$5:$D$254,$A34,Roster!$O$5:$O$254,F$6,Roster!$P$5:$P$254,"Y")</f>
        <v>0</v>
      </c>
      <c r="G34" s="36" t="n">
        <f aca="false">SUMIFS(Roster!$Y$5:$Y$254,Roster!$D$5:$D$254,$A34,Roster!$O$5:$O$254,G$6,Roster!$P$5:$P$254,"Y")</f>
        <v>0</v>
      </c>
    </row>
    <row r="35" customFormat="false" ht="15" hidden="false" customHeight="false" outlineLevel="0" collapsed="false">
      <c r="A35" s="25" t="n">
        <f aca="false">A15</f>
        <v>4</v>
      </c>
      <c r="B35" s="34" t="str">
        <f aca="false">B15</f>
        <v>Exceeds expectations</v>
      </c>
      <c r="C35" s="36" t="n">
        <f aca="false">SUMIFS(Roster!$Y$5:$Y$254,Roster!$D$5:$D$254,$A35,Roster!$O$5:$O$254,C$6,Roster!$P$5:$P$254,"Y")</f>
        <v>0</v>
      </c>
      <c r="D35" s="36" t="n">
        <f aca="false">SUMIFS(Roster!$Y$5:$Y$254,Roster!$D$5:$D$254,$A35,Roster!$O$5:$O$254,D$6,Roster!$P$5:$P$254,"Y")</f>
        <v>8500</v>
      </c>
      <c r="E35" s="36" t="n">
        <f aca="false">SUMIFS(Roster!$Y$5:$Y$254,Roster!$D$5:$D$254,$A35,Roster!$O$5:$O$254,E$6,Roster!$P$5:$P$254,"Y")</f>
        <v>9960</v>
      </c>
      <c r="F35" s="36" t="n">
        <f aca="false">SUMIFS(Roster!$Y$5:$Y$254,Roster!$D$5:$D$254,$A35,Roster!$O$5:$O$254,F$6,Roster!$P$5:$P$254,"Y")</f>
        <v>0</v>
      </c>
      <c r="G35" s="36" t="n">
        <f aca="false">SUMIFS(Roster!$Y$5:$Y$254,Roster!$D$5:$D$254,$A35,Roster!$O$5:$O$254,G$6,Roster!$P$5:$P$254,"Y")</f>
        <v>1810</v>
      </c>
    </row>
    <row r="36" customFormat="false" ht="15" hidden="false" customHeight="false" outlineLevel="0" collapsed="false">
      <c r="A36" s="25" t="n">
        <f aca="false">A16</f>
        <v>3</v>
      </c>
      <c r="B36" s="34" t="str">
        <f aca="false">B16</f>
        <v>Meets expectations</v>
      </c>
      <c r="C36" s="36" t="n">
        <f aca="false">SUMIFS(Roster!$Y$5:$Y$254,Roster!$D$5:$D$254,$A36,Roster!$O$5:$O$254,C$6,Roster!$P$5:$P$254,"Y")</f>
        <v>0</v>
      </c>
      <c r="D36" s="36" t="n">
        <f aca="false">SUMIFS(Roster!$Y$5:$Y$254,Roster!$D$5:$D$254,$A36,Roster!$O$5:$O$254,D$6,Roster!$P$5:$P$254,"Y")</f>
        <v>9391.66666666667</v>
      </c>
      <c r="E36" s="36" t="n">
        <f aca="false">SUMIFS(Roster!$Y$5:$Y$254,Roster!$D$5:$D$254,$A36,Roster!$O$5:$O$254,E$6,Roster!$P$5:$P$254,"Y")</f>
        <v>2400</v>
      </c>
      <c r="F36" s="36" t="n">
        <f aca="false">SUMIFS(Roster!$Y$5:$Y$254,Roster!$D$5:$D$254,$A36,Roster!$O$5:$O$254,F$6,Roster!$P$5:$P$254,"Y")</f>
        <v>1320</v>
      </c>
      <c r="G36" s="36" t="n">
        <f aca="false">SUMIFS(Roster!$Y$5:$Y$254,Roster!$D$5:$D$254,$A36,Roster!$O$5:$O$254,G$6,Roster!$P$5:$P$254,"Y")</f>
        <v>1740</v>
      </c>
    </row>
    <row r="37" customFormat="false" ht="15" hidden="false" customHeight="false" outlineLevel="0" collapsed="false">
      <c r="A37" s="25" t="n">
        <f aca="false">A17</f>
        <v>2</v>
      </c>
      <c r="B37" s="34" t="str">
        <f aca="false">B17</f>
        <v>Partially meets expectations</v>
      </c>
      <c r="C37" s="36" t="n">
        <f aca="false">SUMIFS(Roster!$Y$5:$Y$254,Roster!$D$5:$D$254,$A37,Roster!$O$5:$O$254,C$6,Roster!$P$5:$P$254,"Y")</f>
        <v>0</v>
      </c>
      <c r="D37" s="36" t="n">
        <f aca="false">SUMIFS(Roster!$Y$5:$Y$254,Roster!$D$5:$D$254,$A37,Roster!$O$5:$O$254,D$6,Roster!$P$5:$P$254,"Y")</f>
        <v>0</v>
      </c>
      <c r="E37" s="36" t="n">
        <f aca="false">SUMIFS(Roster!$Y$5:$Y$254,Roster!$D$5:$D$254,$A37,Roster!$O$5:$O$254,E$6,Roster!$P$5:$P$254,"Y")</f>
        <v>390</v>
      </c>
      <c r="F37" s="36" t="n">
        <f aca="false">SUMIFS(Roster!$Y$5:$Y$254,Roster!$D$5:$D$254,$A37,Roster!$O$5:$O$254,F$6,Roster!$P$5:$P$254,"Y")</f>
        <v>0</v>
      </c>
      <c r="G37" s="36" t="n">
        <f aca="false">SUMIFS(Roster!$Y$5:$Y$254,Roster!$D$5:$D$254,$A37,Roster!$O$5:$O$254,G$6,Roster!$P$5:$P$254,"Y")</f>
        <v>0</v>
      </c>
    </row>
    <row r="38" customFormat="false" ht="15" hidden="false" customHeight="false" outlineLevel="0" collapsed="false">
      <c r="A38" s="25" t="n">
        <f aca="false">A18</f>
        <v>1</v>
      </c>
      <c r="B38" s="34" t="str">
        <f aca="false">B18</f>
        <v>Does not meet expectations</v>
      </c>
      <c r="C38" s="36" t="n">
        <f aca="false">SUMIFS(Roster!$Y$5:$Y$254,Roster!$D$5:$D$254,$A38,Roster!$O$5:$O$254,C$6,Roster!$P$5:$P$254,"Y")</f>
        <v>0</v>
      </c>
      <c r="D38" s="36" t="n">
        <f aca="false">SUMIFS(Roster!$Y$5:$Y$254,Roster!$D$5:$D$254,$A38,Roster!$O$5:$O$254,D$6,Roster!$P$5:$P$254,"Y")</f>
        <v>0</v>
      </c>
      <c r="E38" s="36" t="n">
        <f aca="false">SUMIFS(Roster!$Y$5:$Y$254,Roster!$D$5:$D$254,$A38,Roster!$O$5:$O$254,E$6,Roster!$P$5:$P$254,"Y")</f>
        <v>0</v>
      </c>
      <c r="F38" s="36" t="n">
        <f aca="false">SUMIFS(Roster!$Y$5:$Y$254,Roster!$D$5:$D$254,$A38,Roster!$O$5:$O$254,F$6,Roster!$P$5:$P$254,"Y")</f>
        <v>0</v>
      </c>
      <c r="G38" s="36" t="n">
        <f aca="false">SUMIFS(Roster!$Y$5:$Y$254,Roster!$D$5:$D$254,$A38,Roster!$O$5:$O$254,G$6,Roster!$P$5:$P$254,"Y")</f>
        <v>0</v>
      </c>
    </row>
    <row r="39" customFormat="false" ht="15" hidden="false" customHeight="false" outlineLevel="0" collapsed="false">
      <c r="A39" s="23" t="s">
        <v>104</v>
      </c>
      <c r="G39" s="37" t="n">
        <f aca="false">SUM(C34:G38)</f>
        <v>48831.6666666667</v>
      </c>
    </row>
    <row r="40" customFormat="false" ht="15" hidden="false" customHeight="false" outlineLevel="0" collapsed="false">
      <c r="A40" s="33" t="s">
        <v>105</v>
      </c>
    </row>
  </sheetData>
  <mergeCells count="1">
    <mergeCell ref="B4:C4"/>
  </mergeCells>
  <dataValidations count="2">
    <dataValidation allowBlank="false" error="Enter a percentage between 0% and 100%." errorStyle="stop" errorTitle="Percent" operator="between" showDropDown="false" showErrorMessage="true" showInputMessage="false" sqref="C14:G18" type="decimal">
      <formula1>0</formula1>
      <formula2>1</formula2>
    </dataValidation>
    <dataValidation allowBlank="false" error="Enter a number." errorStyle="stop" errorTitle="Number needed" operator="greaterThan" showDropDown="false" showErrorMessage="true" showInputMessage="false" sqref="D7:G8" type="decimal">
      <formula1>-100</formula1>
      <formula2>0</formula2>
    </dataValidation>
  </dataValidations>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B2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9"/>
    <col collapsed="false" customWidth="true" hidden="false" outlineLevel="0" max="3" min="3" style="0" width="13"/>
    <col collapsed="false" customWidth="true" hidden="false" outlineLevel="0" max="4" min="4" style="0" width="11"/>
    <col collapsed="false" customWidth="true" hidden="false" outlineLevel="0" max="6" min="5" style="0" width="14"/>
    <col collapsed="false" customWidth="true" hidden="false" outlineLevel="0" max="7" min="7" style="0" width="11"/>
    <col collapsed="false" customWidth="true" hidden="false" outlineLevel="0" max="8" min="8" style="0" width="24"/>
    <col collapsed="false" customWidth="true" hidden="false" outlineLevel="0" max="11" min="9" style="0" width="12"/>
    <col collapsed="false" customWidth="true" hidden="false" outlineLevel="0" max="14" min="12" style="0" width="10"/>
    <col collapsed="false" customWidth="true" hidden="false" outlineLevel="0" max="15" min="15" style="0" width="7"/>
    <col collapsed="false" customWidth="true" hidden="false" outlineLevel="0" max="16" min="16" style="0" width="9"/>
    <col collapsed="false" customWidth="true" hidden="false" outlineLevel="0" max="17" min="17" style="0" width="26"/>
    <col collapsed="false" customWidth="true" hidden="false" outlineLevel="0" max="18" min="18" style="0" width="10"/>
    <col collapsed="false" customWidth="true" hidden="false" outlineLevel="0" max="19" min="19" style="0" width="12"/>
    <col collapsed="false" customWidth="true" hidden="false" outlineLevel="0" max="20" min="20" style="0" width="10"/>
    <col collapsed="false" customWidth="true" hidden="false" outlineLevel="0" max="24" min="21" style="0" width="12"/>
    <col collapsed="false" customWidth="true" hidden="false" outlineLevel="0" max="26" min="25" style="0" width="13"/>
    <col collapsed="false" customWidth="true" hidden="false" outlineLevel="0" max="27" min="27" style="0" width="10"/>
    <col collapsed="false" customWidth="true" hidden="false" outlineLevel="0" max="28" min="28" style="0" width="34"/>
  </cols>
  <sheetData>
    <row r="1" customFormat="false" ht="19.7" hidden="false" customHeight="false" outlineLevel="0" collapsed="false">
      <c r="A1" s="1" t="s">
        <v>106</v>
      </c>
    </row>
    <row r="2" customFormat="false" ht="15" hidden="false" customHeight="false" outlineLevel="0" collapsed="false">
      <c r="A2" s="7" t="s">
        <v>107</v>
      </c>
    </row>
    <row r="3" customFormat="false" ht="15" hidden="false" customHeight="false" outlineLevel="0" collapsed="false">
      <c r="A3" s="13" t="s">
        <v>108</v>
      </c>
      <c r="B3" s="14"/>
      <c r="C3" s="14"/>
      <c r="D3" s="14"/>
      <c r="E3" s="14"/>
      <c r="F3" s="14"/>
      <c r="G3" s="14"/>
      <c r="H3" s="14"/>
      <c r="I3" s="13" t="s">
        <v>109</v>
      </c>
      <c r="J3" s="14"/>
      <c r="K3" s="14"/>
      <c r="L3" s="14"/>
      <c r="M3" s="14"/>
      <c r="N3" s="14"/>
      <c r="O3" s="14"/>
      <c r="P3" s="14"/>
      <c r="Q3" s="14"/>
      <c r="R3" s="14"/>
      <c r="S3" s="14"/>
      <c r="T3" s="14"/>
      <c r="U3" s="14"/>
      <c r="V3" s="14"/>
      <c r="W3" s="14"/>
      <c r="X3" s="14"/>
      <c r="Y3" s="14"/>
      <c r="Z3" s="14"/>
      <c r="AA3" s="14"/>
      <c r="AB3" s="14"/>
    </row>
    <row r="4" customFormat="false" ht="48" hidden="false" customHeight="true" outlineLevel="0" collapsed="false">
      <c r="A4" s="8" t="s">
        <v>110</v>
      </c>
      <c r="B4" s="8" t="s">
        <v>71</v>
      </c>
      <c r="C4" s="8" t="s">
        <v>111</v>
      </c>
      <c r="D4" s="8" t="s">
        <v>112</v>
      </c>
      <c r="E4" s="8" t="s">
        <v>113</v>
      </c>
      <c r="F4" s="8" t="s">
        <v>114</v>
      </c>
      <c r="G4" s="8" t="s">
        <v>115</v>
      </c>
      <c r="H4" s="8" t="s">
        <v>116</v>
      </c>
      <c r="I4" s="8" t="s">
        <v>72</v>
      </c>
      <c r="J4" s="8" t="s">
        <v>73</v>
      </c>
      <c r="K4" s="8" t="s">
        <v>74</v>
      </c>
      <c r="L4" s="8" t="s">
        <v>39</v>
      </c>
      <c r="M4" s="8" t="s">
        <v>117</v>
      </c>
      <c r="N4" s="8" t="s">
        <v>118</v>
      </c>
      <c r="O4" s="8" t="s">
        <v>119</v>
      </c>
      <c r="P4" s="8" t="s">
        <v>120</v>
      </c>
      <c r="Q4" s="8" t="s">
        <v>121</v>
      </c>
      <c r="R4" s="8" t="s">
        <v>122</v>
      </c>
      <c r="S4" s="8" t="s">
        <v>123</v>
      </c>
      <c r="T4" s="8" t="s">
        <v>124</v>
      </c>
      <c r="U4" s="8" t="s">
        <v>125</v>
      </c>
      <c r="V4" s="8" t="s">
        <v>126</v>
      </c>
      <c r="W4" s="8" t="s">
        <v>127</v>
      </c>
      <c r="X4" s="8" t="s">
        <v>128</v>
      </c>
      <c r="Y4" s="8" t="s">
        <v>129</v>
      </c>
      <c r="Z4" s="8" t="s">
        <v>130</v>
      </c>
      <c r="AA4" s="8" t="s">
        <v>131</v>
      </c>
      <c r="AB4" s="8" t="s">
        <v>132</v>
      </c>
    </row>
    <row r="5" customFormat="false" ht="15" hidden="false" customHeight="false" outlineLevel="0" collapsed="false">
      <c r="A5" s="18" t="s">
        <v>133</v>
      </c>
      <c r="B5" s="38" t="s">
        <v>77</v>
      </c>
      <c r="C5" s="39" t="n">
        <v>44270</v>
      </c>
      <c r="D5" s="38" t="n">
        <v>3</v>
      </c>
      <c r="E5" s="19" t="n">
        <v>46000</v>
      </c>
      <c r="F5" s="38"/>
      <c r="G5" s="40"/>
      <c r="H5" s="18"/>
      <c r="I5" s="41" t="n">
        <f aca="false">IF(COUNTA($A5:$F5)=0,"",IF($B5="","",IFERROR(INDEX(Ranges!$B$5:$B$16,MATCH($B5,Ranges!$A$5:$A$16,0)),"")))</f>
        <v>40000</v>
      </c>
      <c r="J5" s="41" t="n">
        <f aca="false">IF(COUNTA($A5:$F5)=0,"",IF($B5="","",IFERROR(INDEX(Ranges!$C$5:$C$16,MATCH($B5,Ranges!$A$5:$A$16,0)),"")))</f>
        <v>50000</v>
      </c>
      <c r="K5" s="41" t="n">
        <f aca="false">IF(COUNTA($A5:$F5)=0,"",IF($B5="","",IFERROR(INDEX(Ranges!$D$5:$D$16,MATCH($B5,Ranges!$A$5:$A$16,0)),"")))</f>
        <v>60000</v>
      </c>
      <c r="L5" s="42" t="n">
        <f aca="false">IF(OR(NOT(ISNUMBER($E5)),NOT(ISNUMBER(J5))),"",IF(J5&gt;0,$E5/J5,""))</f>
        <v>0.92</v>
      </c>
      <c r="M5" s="43" t="n">
        <f aca="false">IF(OR(NOT(ISNUMBER($E5)),NOT(ISNUMBER(I5)),NOT(ISNUMBER(K5))),"",IF(K5&gt;I5,($E5-I5)/(K5-I5),""))</f>
        <v>0.3</v>
      </c>
      <c r="N5" s="42" t="n">
        <f aca="false">IF(Basis="Compa-ratio",L5,M5)</f>
        <v>0.92</v>
      </c>
      <c r="O5" s="44" t="n">
        <f aca="false">IF(ISNUMBER(N5),IFERROR(MATCH(N5,Matrix!$C$9:$G$9,1),1),"")</f>
        <v>2</v>
      </c>
      <c r="P5" s="45" t="str">
        <f aca="false">IF(COUNTA($A5:$F5)=0,"",IF(Q5="","Y","N"))</f>
        <v>Y</v>
      </c>
      <c r="Q5" s="46" t="str">
        <f aca="false">IF(COUNTA($A5:$F5)=0,"",IF($A5="","ID missing",IF(TRIM($F5)="Exclude","Excluded by plan status",IF(AND(TRIM($F5)&lt;&gt;"",TRIM($F5)&lt;&gt;"Include"),"Plan status not valid (use Include or Exclude)",IF(NOT(ISNUMBER($C5)),"Hire date missing or not a date",IF($C5&gt;Cutoff,"Hired after cutoff",IF(NOT(ISNUMBER($E5)),"Salary missing or not a number",IF($E5&lt;=0,"Salary missing or not a number",IF(OR(NOT(ISNUMBER(I5)),NOT(ISNUMBER(J5)),NOT(ISNUMBER(K5))),"Grade not found in Ranges",IF($D5="","Rating missing",IF($D5="NR","Not rated (NR)",IF(NOT(ISNUMBER(MATCH($D5,Matrix!$A$14:$A$18,0))),"Rating not valid (use 1 to 5 or NR)",IF(NOT(ISNUMBER(O5)),"Band not found (check range and limits)","")))))))))))))</f>
        <v/>
      </c>
      <c r="R5" s="47" t="n">
        <f aca="false">IF($P5="Y",INDEX(Matrix!$C$14:$G$18,MATCH($D5,Matrix!$A$14:$A$18,0),$O5),IF($P5="N",0,""))</f>
        <v>0.035</v>
      </c>
      <c r="S5" s="47" t="n">
        <f aca="false">IF($P5="Y",IF(AND(ISNUMBER($G5),$G5&gt;=0,$G5&lt;=1),$G5,$R5),IF($P5="N",0,""))</f>
        <v>0.035</v>
      </c>
      <c r="T5" s="48" t="n">
        <f aca="false">IF($P5&lt;&gt;"Y",IF($P5="N",0,""),IF(ProrateMethod="None",1,IF($C5&lt;=PeriodStart,1,IF(ProrateMethod="Daily",MAX(0,MIN(1,(PeriodEnd-$C5+1)/(PeriodEnd-PeriodStart+1))),MAX(0,MIN(1,((YEAR(PeriodEnd)-YEAR($C5))*12+MONTH(PeriodEnd)-MONTH($C5)+1-IF(DAY($C5)&gt;MonthCutDay,1,0))/PeriodMonths))))))</f>
        <v>1</v>
      </c>
      <c r="U5" s="47" t="n">
        <f aca="false">IF($P5="","",$S5*$T5)</f>
        <v>0.035</v>
      </c>
      <c r="V5" s="49" t="n">
        <f aca="false">IF($P5="","",IF(ISNUMBER($E5),$E5,0)*$R5)</f>
        <v>1610</v>
      </c>
      <c r="W5" s="49" t="n">
        <f aca="false">IF($P5="","",IF(ISNUMBER($E5),$E5,0)*$S5)</f>
        <v>1610</v>
      </c>
      <c r="X5" s="49" t="n">
        <f aca="false">IF($P5="","",IF(ISNUMBER($E5),$E5,0)*$U5)</f>
        <v>1610</v>
      </c>
      <c r="Y5" s="49" t="n">
        <f aca="false">IF($P5="","",IF(AND(CapAtMax="Yes",$P5="Y"),MAX(0,MIN($X5,$K5-$E5)),$X5))</f>
        <v>1610</v>
      </c>
      <c r="Z5" s="41" t="n">
        <f aca="false">IF(OR($P5="",NOT(ISNUMBER($E5))),"",$E5+$Y5)</f>
        <v>47610</v>
      </c>
      <c r="AA5" s="42" t="n">
        <f aca="false">IF(AND(ISNUMBER(Z5),ISNUMBER(J5)),IF(J5&gt;0,Z5/J5,""),"")</f>
        <v>0.9522</v>
      </c>
      <c r="AB5" s="46" t="str">
        <f aca="false">IF($P5="","",TRIM(IF(AND($P5="Y",ISNUMBER(K5),ISNUMBER(Z5)),IF(Z5&gt;K5,"Above range max. ",""),"")&amp;IF(AND($P5="Y",ISNUMBER($X5),ISNUMBER($Y5)),IF($X5-$Y5&gt;0.005,"Capped at range max. ",""),"")&amp;IF(AND(AND(ISNUMBER($G5),$G5&gt;=0,$G5&lt;=1),$H5=""),"Override needs a reason. ","")&amp;IF(AND(AND(ISNUMBER($G5),$G5&gt;=0,$G5&lt;=1),$P5&lt;&gt;"Y"),"Override ignored. ","")&amp;IF(AND($G5&lt;&gt;"",NOT(AND(ISNUMBER($G5),$G5&gt;=0,$G5&lt;=1))),"Override not valid, ignored. ","")&amp;IF(AND($A5&lt;&gt;"",COUNTIF($A$5:$A$254,$A5)&gt;1),"Duplicate ID. ","")))</f>
        <v/>
      </c>
    </row>
    <row r="6" customFormat="false" ht="15" hidden="false" customHeight="false" outlineLevel="0" collapsed="false">
      <c r="A6" s="18" t="s">
        <v>134</v>
      </c>
      <c r="B6" s="38" t="s">
        <v>77</v>
      </c>
      <c r="C6" s="39" t="n">
        <v>45078</v>
      </c>
      <c r="D6" s="38" t="n">
        <v>4</v>
      </c>
      <c r="E6" s="19" t="n">
        <v>43500</v>
      </c>
      <c r="F6" s="38"/>
      <c r="G6" s="40"/>
      <c r="H6" s="18"/>
      <c r="I6" s="41" t="n">
        <f aca="false">IF(COUNTA($A6:$F6)=0,"",IF($B6="","",IFERROR(INDEX(Ranges!$B$5:$B$16,MATCH($B6,Ranges!$A$5:$A$16,0)),"")))</f>
        <v>40000</v>
      </c>
      <c r="J6" s="41" t="n">
        <f aca="false">IF(COUNTA($A6:$F6)=0,"",IF($B6="","",IFERROR(INDEX(Ranges!$C$5:$C$16,MATCH($B6,Ranges!$A$5:$A$16,0)),"")))</f>
        <v>50000</v>
      </c>
      <c r="K6" s="41" t="n">
        <f aca="false">IF(COUNTA($A6:$F6)=0,"",IF($B6="","",IFERROR(INDEX(Ranges!$D$5:$D$16,MATCH($B6,Ranges!$A$5:$A$16,0)),"")))</f>
        <v>60000</v>
      </c>
      <c r="L6" s="42" t="n">
        <f aca="false">IF(OR(NOT(ISNUMBER($E6)),NOT(ISNUMBER(J6))),"",IF(J6&gt;0,$E6/J6,""))</f>
        <v>0.87</v>
      </c>
      <c r="M6" s="43" t="n">
        <f aca="false">IF(OR(NOT(ISNUMBER($E6)),NOT(ISNUMBER(I6)),NOT(ISNUMBER(K6))),"",IF(K6&gt;I6,($E6-I6)/(K6-I6),""))</f>
        <v>0.175</v>
      </c>
      <c r="N6" s="42" t="n">
        <f aca="false">IF(Basis="Compa-ratio",L6,M6)</f>
        <v>0.87</v>
      </c>
      <c r="O6" s="44" t="n">
        <f aca="false">IF(ISNUMBER(N6),IFERROR(MATCH(N6,Matrix!$C$9:$G$9,1),1),"")</f>
        <v>2</v>
      </c>
      <c r="P6" s="45" t="str">
        <f aca="false">IF(COUNTA($A6:$F6)=0,"",IF(Q6="","Y","N"))</f>
        <v>Y</v>
      </c>
      <c r="Q6" s="46" t="str">
        <f aca="false">IF(COUNTA($A6:$F6)=0,"",IF($A6="","ID missing",IF(TRIM($F6)="Exclude","Excluded by plan status",IF(AND(TRIM($F6)&lt;&gt;"",TRIM($F6)&lt;&gt;"Include"),"Plan status not valid (use Include or Exclude)",IF(NOT(ISNUMBER($C6)),"Hire date missing or not a date",IF($C6&gt;Cutoff,"Hired after cutoff",IF(NOT(ISNUMBER($E6)),"Salary missing or not a number",IF($E6&lt;=0,"Salary missing or not a number",IF(OR(NOT(ISNUMBER(I6)),NOT(ISNUMBER(J6)),NOT(ISNUMBER(K6))),"Grade not found in Ranges",IF($D6="","Rating missing",IF($D6="NR","Not rated (NR)",IF(NOT(ISNUMBER(MATCH($D6,Matrix!$A$14:$A$18,0))),"Rating not valid (use 1 to 5 or NR)",IF(NOT(ISNUMBER(O6)),"Band not found (check range and limits)","")))))))))))))</f>
        <v/>
      </c>
      <c r="R6" s="47" t="n">
        <f aca="false">IF($P6="Y",INDEX(Matrix!$C$14:$G$18,MATCH($D6,Matrix!$A$14:$A$18,0),$O6),IF($P6="N",0,""))</f>
        <v>0.05</v>
      </c>
      <c r="S6" s="47" t="n">
        <f aca="false">IF($P6="Y",IF(AND(ISNUMBER($G6),$G6&gt;=0,$G6&lt;=1),$G6,$R6),IF($P6="N",0,""))</f>
        <v>0.05</v>
      </c>
      <c r="T6" s="48" t="n">
        <f aca="false">IF($P6&lt;&gt;"Y",IF($P6="N",0,""),IF(ProrateMethod="None",1,IF($C6&lt;=PeriodStart,1,IF(ProrateMethod="Daily",MAX(0,MIN(1,(PeriodEnd-$C6+1)/(PeriodEnd-PeriodStart+1))),MAX(0,MIN(1,((YEAR(PeriodEnd)-YEAR($C6))*12+MONTH(PeriodEnd)-MONTH($C6)+1-IF(DAY($C6)&gt;MonthCutDay,1,0))/PeriodMonths))))))</f>
        <v>1</v>
      </c>
      <c r="U6" s="47" t="n">
        <f aca="false">IF($P6="","",$S6*$T6)</f>
        <v>0.05</v>
      </c>
      <c r="V6" s="49" t="n">
        <f aca="false">IF($P6="","",IF(ISNUMBER($E6),$E6,0)*$R6)</f>
        <v>2175</v>
      </c>
      <c r="W6" s="49" t="n">
        <f aca="false">IF($P6="","",IF(ISNUMBER($E6),$E6,0)*$S6)</f>
        <v>2175</v>
      </c>
      <c r="X6" s="49" t="n">
        <f aca="false">IF($P6="","",IF(ISNUMBER($E6),$E6,0)*$U6)</f>
        <v>2175</v>
      </c>
      <c r="Y6" s="49" t="n">
        <f aca="false">IF($P6="","",IF(AND(CapAtMax="Yes",$P6="Y"),MAX(0,MIN($X6,$K6-$E6)),$X6))</f>
        <v>2175</v>
      </c>
      <c r="Z6" s="41" t="n">
        <f aca="false">IF(OR($P6="",NOT(ISNUMBER($E6))),"",$E6+$Y6)</f>
        <v>45675</v>
      </c>
      <c r="AA6" s="42" t="n">
        <f aca="false">IF(AND(ISNUMBER(Z6),ISNUMBER(J6)),IF(J6&gt;0,Z6/J6,""),"")</f>
        <v>0.9135</v>
      </c>
      <c r="AB6" s="46" t="str">
        <f aca="false">IF($P6="","",TRIM(IF(AND($P6="Y",ISNUMBER(K6),ISNUMBER(Z6)),IF(Z6&gt;K6,"Above range max. ",""),"")&amp;IF(AND($P6="Y",ISNUMBER($X6),ISNUMBER($Y6)),IF($X6-$Y6&gt;0.005,"Capped at range max. ",""),"")&amp;IF(AND(AND(ISNUMBER($G6),$G6&gt;=0,$G6&lt;=1),$H6=""),"Override needs a reason. ","")&amp;IF(AND(AND(ISNUMBER($G6),$G6&gt;=0,$G6&lt;=1),$P6&lt;&gt;"Y"),"Override ignored. ","")&amp;IF(AND($G6&lt;&gt;"",NOT(AND(ISNUMBER($G6),$G6&gt;=0,$G6&lt;=1))),"Override not valid, ignored. ","")&amp;IF(AND($A6&lt;&gt;"",COUNTIF($A$5:$A$254,$A6)&gt;1),"Duplicate ID. ","")))</f>
        <v/>
      </c>
    </row>
    <row r="7" customFormat="false" ht="15" hidden="false" customHeight="false" outlineLevel="0" collapsed="false">
      <c r="A7" s="18" t="s">
        <v>135</v>
      </c>
      <c r="B7" s="38" t="s">
        <v>77</v>
      </c>
      <c r="C7" s="39" t="n">
        <v>43718</v>
      </c>
      <c r="D7" s="38" t="n">
        <v>2</v>
      </c>
      <c r="E7" s="19" t="n">
        <v>52000</v>
      </c>
      <c r="F7" s="38"/>
      <c r="G7" s="40"/>
      <c r="H7" s="18"/>
      <c r="I7" s="41" t="n">
        <f aca="false">IF(COUNTA($A7:$F7)=0,"",IF($B7="","",IFERROR(INDEX(Ranges!$B$5:$B$16,MATCH($B7,Ranges!$A$5:$A$16,0)),"")))</f>
        <v>40000</v>
      </c>
      <c r="J7" s="41" t="n">
        <f aca="false">IF(COUNTA($A7:$F7)=0,"",IF($B7="","",IFERROR(INDEX(Ranges!$C$5:$C$16,MATCH($B7,Ranges!$A$5:$A$16,0)),"")))</f>
        <v>50000</v>
      </c>
      <c r="K7" s="41" t="n">
        <f aca="false">IF(COUNTA($A7:$F7)=0,"",IF($B7="","",IFERROR(INDEX(Ranges!$D$5:$D$16,MATCH($B7,Ranges!$A$5:$A$16,0)),"")))</f>
        <v>60000</v>
      </c>
      <c r="L7" s="42" t="n">
        <f aca="false">IF(OR(NOT(ISNUMBER($E7)),NOT(ISNUMBER(J7))),"",IF(J7&gt;0,$E7/J7,""))</f>
        <v>1.04</v>
      </c>
      <c r="M7" s="43" t="n">
        <f aca="false">IF(OR(NOT(ISNUMBER($E7)),NOT(ISNUMBER(I7)),NOT(ISNUMBER(K7))),"",IF(K7&gt;I7,($E7-I7)/(K7-I7),""))</f>
        <v>0.6</v>
      </c>
      <c r="N7" s="42" t="n">
        <f aca="false">IF(Basis="Compa-ratio",L7,M7)</f>
        <v>1.04</v>
      </c>
      <c r="O7" s="44" t="n">
        <f aca="false">IF(ISNUMBER(N7),IFERROR(MATCH(N7,Matrix!$C$9:$G$9,1),1),"")</f>
        <v>3</v>
      </c>
      <c r="P7" s="45" t="str">
        <f aca="false">IF(COUNTA($A7:$F7)=0,"",IF(Q7="","Y","N"))</f>
        <v>Y</v>
      </c>
      <c r="Q7" s="46" t="str">
        <f aca="false">IF(COUNTA($A7:$F7)=0,"",IF($A7="","ID missing",IF(TRIM($F7)="Exclude","Excluded by plan status",IF(AND(TRIM($F7)&lt;&gt;"",TRIM($F7)&lt;&gt;"Include"),"Plan status not valid (use Include or Exclude)",IF(NOT(ISNUMBER($C7)),"Hire date missing or not a date",IF($C7&gt;Cutoff,"Hired after cutoff",IF(NOT(ISNUMBER($E7)),"Salary missing or not a number",IF($E7&lt;=0,"Salary missing or not a number",IF(OR(NOT(ISNUMBER(I7)),NOT(ISNUMBER(J7)),NOT(ISNUMBER(K7))),"Grade not found in Ranges",IF($D7="","Rating missing",IF($D7="NR","Not rated (NR)",IF(NOT(ISNUMBER(MATCH($D7,Matrix!$A$14:$A$18,0))),"Rating not valid (use 1 to 5 or NR)",IF(NOT(ISNUMBER(O7)),"Band not found (check range and limits)","")))))))))))))</f>
        <v/>
      </c>
      <c r="R7" s="47" t="n">
        <f aca="false">IF($P7="Y",INDEX(Matrix!$C$14:$G$18,MATCH($D7,Matrix!$A$14:$A$18,0),$O7),IF($P7="N",0,""))</f>
        <v>0.0075</v>
      </c>
      <c r="S7" s="47" t="n">
        <f aca="false">IF($P7="Y",IF(AND(ISNUMBER($G7),$G7&gt;=0,$G7&lt;=1),$G7,$R7),IF($P7="N",0,""))</f>
        <v>0.0075</v>
      </c>
      <c r="T7" s="48" t="n">
        <f aca="false">IF($P7&lt;&gt;"Y",IF($P7="N",0,""),IF(ProrateMethod="None",1,IF($C7&lt;=PeriodStart,1,IF(ProrateMethod="Daily",MAX(0,MIN(1,(PeriodEnd-$C7+1)/(PeriodEnd-PeriodStart+1))),MAX(0,MIN(1,((YEAR(PeriodEnd)-YEAR($C7))*12+MONTH(PeriodEnd)-MONTH($C7)+1-IF(DAY($C7)&gt;MonthCutDay,1,0))/PeriodMonths))))))</f>
        <v>1</v>
      </c>
      <c r="U7" s="47" t="n">
        <f aca="false">IF($P7="","",$S7*$T7)</f>
        <v>0.0075</v>
      </c>
      <c r="V7" s="49" t="n">
        <f aca="false">IF($P7="","",IF(ISNUMBER($E7),$E7,0)*$R7)</f>
        <v>390</v>
      </c>
      <c r="W7" s="49" t="n">
        <f aca="false">IF($P7="","",IF(ISNUMBER($E7),$E7,0)*$S7)</f>
        <v>390</v>
      </c>
      <c r="X7" s="49" t="n">
        <f aca="false">IF($P7="","",IF(ISNUMBER($E7),$E7,0)*$U7)</f>
        <v>390</v>
      </c>
      <c r="Y7" s="49" t="n">
        <f aca="false">IF($P7="","",IF(AND(CapAtMax="Yes",$P7="Y"),MAX(0,MIN($X7,$K7-$E7)),$X7))</f>
        <v>390</v>
      </c>
      <c r="Z7" s="41" t="n">
        <f aca="false">IF(OR($P7="",NOT(ISNUMBER($E7))),"",$E7+$Y7)</f>
        <v>52390</v>
      </c>
      <c r="AA7" s="42" t="n">
        <f aca="false">IF(AND(ISNUMBER(Z7),ISNUMBER(J7)),IF(J7&gt;0,Z7/J7,""),"")</f>
        <v>1.0478</v>
      </c>
      <c r="AB7" s="46" t="str">
        <f aca="false">IF($P7="","",TRIM(IF(AND($P7="Y",ISNUMBER(K7),ISNUMBER(Z7)),IF(Z7&gt;K7,"Above range max. ",""),"")&amp;IF(AND($P7="Y",ISNUMBER($X7),ISNUMBER($Y7)),IF($X7-$Y7&gt;0.005,"Capped at range max. ",""),"")&amp;IF(AND(AND(ISNUMBER($G7),$G7&gt;=0,$G7&lt;=1),$H7=""),"Override needs a reason. ","")&amp;IF(AND(AND(ISNUMBER($G7),$G7&gt;=0,$G7&lt;=1),$P7&lt;&gt;"Y"),"Override ignored. ","")&amp;IF(AND($G7&lt;&gt;"",NOT(AND(ISNUMBER($G7),$G7&gt;=0,$G7&lt;=1))),"Override not valid, ignored. ","")&amp;IF(AND($A7&lt;&gt;"",COUNTIF($A$5:$A$254,$A7)&gt;1),"Duplicate ID. ","")))</f>
        <v/>
      </c>
    </row>
    <row r="8" customFormat="false" ht="15" hidden="false" customHeight="false" outlineLevel="0" collapsed="false">
      <c r="A8" s="18" t="s">
        <v>136</v>
      </c>
      <c r="B8" s="38" t="s">
        <v>77</v>
      </c>
      <c r="C8" s="39" t="n">
        <v>46132</v>
      </c>
      <c r="D8" s="38" t="n">
        <v>3</v>
      </c>
      <c r="E8" s="19" t="n">
        <v>44000</v>
      </c>
      <c r="F8" s="38"/>
      <c r="G8" s="40"/>
      <c r="H8" s="18"/>
      <c r="I8" s="41" t="n">
        <f aca="false">IF(COUNTA($A8:$F8)=0,"",IF($B8="","",IFERROR(INDEX(Ranges!$B$5:$B$16,MATCH($B8,Ranges!$A$5:$A$16,0)),"")))</f>
        <v>40000</v>
      </c>
      <c r="J8" s="41" t="n">
        <f aca="false">IF(COUNTA($A8:$F8)=0,"",IF($B8="","",IFERROR(INDEX(Ranges!$C$5:$C$16,MATCH($B8,Ranges!$A$5:$A$16,0)),"")))</f>
        <v>50000</v>
      </c>
      <c r="K8" s="41" t="n">
        <f aca="false">IF(COUNTA($A8:$F8)=0,"",IF($B8="","",IFERROR(INDEX(Ranges!$D$5:$D$16,MATCH($B8,Ranges!$A$5:$A$16,0)),"")))</f>
        <v>60000</v>
      </c>
      <c r="L8" s="42" t="n">
        <f aca="false">IF(OR(NOT(ISNUMBER($E8)),NOT(ISNUMBER(J8))),"",IF(J8&gt;0,$E8/J8,""))</f>
        <v>0.88</v>
      </c>
      <c r="M8" s="43" t="n">
        <f aca="false">IF(OR(NOT(ISNUMBER($E8)),NOT(ISNUMBER(I8)),NOT(ISNUMBER(K8))),"",IF(K8&gt;I8,($E8-I8)/(K8-I8),""))</f>
        <v>0.2</v>
      </c>
      <c r="N8" s="42" t="n">
        <f aca="false">IF(Basis="Compa-ratio",L8,M8)</f>
        <v>0.88</v>
      </c>
      <c r="O8" s="44" t="n">
        <f aca="false">IF(ISNUMBER(N8),IFERROR(MATCH(N8,Matrix!$C$9:$G$9,1),1),"")</f>
        <v>2</v>
      </c>
      <c r="P8" s="45" t="str">
        <f aca="false">IF(COUNTA($A8:$F8)=0,"",IF(Q8="","Y","N"))</f>
        <v>Y</v>
      </c>
      <c r="Q8" s="46" t="str">
        <f aca="false">IF(COUNTA($A8:$F8)=0,"",IF($A8="","ID missing",IF(TRIM($F8)="Exclude","Excluded by plan status",IF(AND(TRIM($F8)&lt;&gt;"",TRIM($F8)&lt;&gt;"Include"),"Plan status not valid (use Include or Exclude)",IF(NOT(ISNUMBER($C8)),"Hire date missing or not a date",IF($C8&gt;Cutoff,"Hired after cutoff",IF(NOT(ISNUMBER($E8)),"Salary missing or not a number",IF($E8&lt;=0,"Salary missing or not a number",IF(OR(NOT(ISNUMBER(I8)),NOT(ISNUMBER(J8)),NOT(ISNUMBER(K8))),"Grade not found in Ranges",IF($D8="","Rating missing",IF($D8="NR","Not rated (NR)",IF(NOT(ISNUMBER(MATCH($D8,Matrix!$A$14:$A$18,0))),"Rating not valid (use 1 to 5 or NR)",IF(NOT(ISNUMBER(O8)),"Band not found (check range and limits)","")))))))))))))</f>
        <v/>
      </c>
      <c r="R8" s="47" t="n">
        <f aca="false">IF($P8="Y",INDEX(Matrix!$C$14:$G$18,MATCH($D8,Matrix!$A$14:$A$18,0),$O8),IF($P8="N",0,""))</f>
        <v>0.035</v>
      </c>
      <c r="S8" s="47" t="n">
        <f aca="false">IF($P8="Y",IF(AND(ISNUMBER($G8),$G8&gt;=0,$G8&lt;=1),$G8,$R8),IF($P8="N",0,""))</f>
        <v>0.035</v>
      </c>
      <c r="T8" s="48" t="n">
        <f aca="false">IF($P8&lt;&gt;"Y",IF($P8="N",0,""),IF(ProrateMethod="None",1,IF($C8&lt;=PeriodStart,1,IF(ProrateMethod="Daily",MAX(0,MIN(1,(PeriodEnd-$C8+1)/(PeriodEnd-PeriodStart+1))),MAX(0,MIN(1,((YEAR(PeriodEnd)-YEAR($C8))*12+MONTH(PeriodEnd)-MONTH($C8)+1-IF(DAY($C8)&gt;MonthCutDay,1,0))/PeriodMonths))))))</f>
        <v>0.666666666666667</v>
      </c>
      <c r="U8" s="47" t="n">
        <f aca="false">IF($P8="","",$S8*$T8)</f>
        <v>0.0233333333333333</v>
      </c>
      <c r="V8" s="49" t="n">
        <f aca="false">IF($P8="","",IF(ISNUMBER($E8),$E8,0)*$R8)</f>
        <v>1540</v>
      </c>
      <c r="W8" s="49" t="n">
        <f aca="false">IF($P8="","",IF(ISNUMBER($E8),$E8,0)*$S8)</f>
        <v>1540</v>
      </c>
      <c r="X8" s="49" t="n">
        <f aca="false">IF($P8="","",IF(ISNUMBER($E8),$E8,0)*$U8)</f>
        <v>1026.66666666667</v>
      </c>
      <c r="Y8" s="49" t="n">
        <f aca="false">IF($P8="","",IF(AND(CapAtMax="Yes",$P8="Y"),MAX(0,MIN($X8,$K8-$E8)),$X8))</f>
        <v>1026.66666666667</v>
      </c>
      <c r="Z8" s="41" t="n">
        <f aca="false">IF(OR($P8="",NOT(ISNUMBER($E8))),"",$E8+$Y8)</f>
        <v>45026.6666666667</v>
      </c>
      <c r="AA8" s="42" t="n">
        <f aca="false">IF(AND(ISNUMBER(Z8),ISNUMBER(J8)),IF(J8&gt;0,Z8/J8,""),"")</f>
        <v>0.900533333333333</v>
      </c>
      <c r="AB8" s="46" t="str">
        <f aca="false">IF($P8="","",TRIM(IF(AND($P8="Y",ISNUMBER(K8),ISNUMBER(Z8)),IF(Z8&gt;K8,"Above range max. ",""),"")&amp;IF(AND($P8="Y",ISNUMBER($X8),ISNUMBER($Y8)),IF($X8-$Y8&gt;0.005,"Capped at range max. ",""),"")&amp;IF(AND(AND(ISNUMBER($G8),$G8&gt;=0,$G8&lt;=1),$H8=""),"Override needs a reason. ","")&amp;IF(AND(AND(ISNUMBER($G8),$G8&gt;=0,$G8&lt;=1),$P8&lt;&gt;"Y"),"Override ignored. ","")&amp;IF(AND($G8&lt;&gt;"",NOT(AND(ISNUMBER($G8),$G8&gt;=0,$G8&lt;=1))),"Override not valid, ignored. ","")&amp;IF(AND($A8&lt;&gt;"",COUNTIF($A$5:$A$254,$A8)&gt;1),"Duplicate ID. ","")))</f>
        <v/>
      </c>
    </row>
    <row r="9" customFormat="false" ht="15" hidden="false" customHeight="false" outlineLevel="0" collapsed="false">
      <c r="A9" s="18" t="s">
        <v>137</v>
      </c>
      <c r="B9" s="38" t="s">
        <v>78</v>
      </c>
      <c r="C9" s="39" t="n">
        <v>43836</v>
      </c>
      <c r="D9" s="38" t="n">
        <v>5</v>
      </c>
      <c r="E9" s="19" t="n">
        <v>58000</v>
      </c>
      <c r="F9" s="38"/>
      <c r="G9" s="40"/>
      <c r="H9" s="18"/>
      <c r="I9" s="41" t="n">
        <f aca="false">IF(COUNTA($A9:$F9)=0,"",IF($B9="","",IFERROR(INDEX(Ranges!$B$5:$B$16,MATCH($B9,Ranges!$A$5:$A$16,0)),"")))</f>
        <v>50000</v>
      </c>
      <c r="J9" s="41" t="n">
        <f aca="false">IF(COUNTA($A9:$F9)=0,"",IF($B9="","",IFERROR(INDEX(Ranges!$C$5:$C$16,MATCH($B9,Ranges!$A$5:$A$16,0)),"")))</f>
        <v>62500</v>
      </c>
      <c r="K9" s="41" t="n">
        <f aca="false">IF(COUNTA($A9:$F9)=0,"",IF($B9="","",IFERROR(INDEX(Ranges!$D$5:$D$16,MATCH($B9,Ranges!$A$5:$A$16,0)),"")))</f>
        <v>75000</v>
      </c>
      <c r="L9" s="42" t="n">
        <f aca="false">IF(OR(NOT(ISNUMBER($E9)),NOT(ISNUMBER(J9))),"",IF(J9&gt;0,$E9/J9,""))</f>
        <v>0.928</v>
      </c>
      <c r="M9" s="43" t="n">
        <f aca="false">IF(OR(NOT(ISNUMBER($E9)),NOT(ISNUMBER(I9)),NOT(ISNUMBER(K9))),"",IF(K9&gt;I9,($E9-I9)/(K9-I9),""))</f>
        <v>0.32</v>
      </c>
      <c r="N9" s="42" t="n">
        <f aca="false">IF(Basis="Compa-ratio",L9,M9)</f>
        <v>0.928</v>
      </c>
      <c r="O9" s="44" t="n">
        <f aca="false">IF(ISNUMBER(N9),IFERROR(MATCH(N9,Matrix!$C$9:$G$9,1),1),"")</f>
        <v>2</v>
      </c>
      <c r="P9" s="45" t="str">
        <f aca="false">IF(COUNTA($A9:$F9)=0,"",IF(Q9="","Y","N"))</f>
        <v>Y</v>
      </c>
      <c r="Q9" s="46" t="str">
        <f aca="false">IF(COUNTA($A9:$F9)=0,"",IF($A9="","ID missing",IF(TRIM($F9)="Exclude","Excluded by plan status",IF(AND(TRIM($F9)&lt;&gt;"",TRIM($F9)&lt;&gt;"Include"),"Plan status not valid (use Include or Exclude)",IF(NOT(ISNUMBER($C9)),"Hire date missing or not a date",IF($C9&gt;Cutoff,"Hired after cutoff",IF(NOT(ISNUMBER($E9)),"Salary missing or not a number",IF($E9&lt;=0,"Salary missing or not a number",IF(OR(NOT(ISNUMBER(I9)),NOT(ISNUMBER(J9)),NOT(ISNUMBER(K9))),"Grade not found in Ranges",IF($D9="","Rating missing",IF($D9="NR","Not rated (NR)",IF(NOT(ISNUMBER(MATCH($D9,Matrix!$A$14:$A$18,0))),"Rating not valid (use 1 to 5 or NR)",IF(NOT(ISNUMBER(O9)),"Band not found (check range and limits)","")))))))))))))</f>
        <v/>
      </c>
      <c r="R9" s="47" t="n">
        <f aca="false">IF($P9="Y",INDEX(Matrix!$C$14:$G$18,MATCH($D9,Matrix!$A$14:$A$18,0),$O9),IF($P9="N",0,""))</f>
        <v>0.06</v>
      </c>
      <c r="S9" s="47" t="n">
        <f aca="false">IF($P9="Y",IF(AND(ISNUMBER($G9),$G9&gt;=0,$G9&lt;=1),$G9,$R9),IF($P9="N",0,""))</f>
        <v>0.06</v>
      </c>
      <c r="T9" s="48" t="n">
        <f aca="false">IF($P9&lt;&gt;"Y",IF($P9="N",0,""),IF(ProrateMethod="None",1,IF($C9&lt;=PeriodStart,1,IF(ProrateMethod="Daily",MAX(0,MIN(1,(PeriodEnd-$C9+1)/(PeriodEnd-PeriodStart+1))),MAX(0,MIN(1,((YEAR(PeriodEnd)-YEAR($C9))*12+MONTH(PeriodEnd)-MONTH($C9)+1-IF(DAY($C9)&gt;MonthCutDay,1,0))/PeriodMonths))))))</f>
        <v>1</v>
      </c>
      <c r="U9" s="47" t="n">
        <f aca="false">IF($P9="","",$S9*$T9)</f>
        <v>0.06</v>
      </c>
      <c r="V9" s="49" t="n">
        <f aca="false">IF($P9="","",IF(ISNUMBER($E9),$E9,0)*$R9)</f>
        <v>3480</v>
      </c>
      <c r="W9" s="49" t="n">
        <f aca="false">IF($P9="","",IF(ISNUMBER($E9),$E9,0)*$S9)</f>
        <v>3480</v>
      </c>
      <c r="X9" s="49" t="n">
        <f aca="false">IF($P9="","",IF(ISNUMBER($E9),$E9,0)*$U9)</f>
        <v>3480</v>
      </c>
      <c r="Y9" s="49" t="n">
        <f aca="false">IF($P9="","",IF(AND(CapAtMax="Yes",$P9="Y"),MAX(0,MIN($X9,$K9-$E9)),$X9))</f>
        <v>3480</v>
      </c>
      <c r="Z9" s="41" t="n">
        <f aca="false">IF(OR($P9="",NOT(ISNUMBER($E9))),"",$E9+$Y9)</f>
        <v>61480</v>
      </c>
      <c r="AA9" s="42" t="n">
        <f aca="false">IF(AND(ISNUMBER(Z9),ISNUMBER(J9)),IF(J9&gt;0,Z9/J9,""),"")</f>
        <v>0.98368</v>
      </c>
      <c r="AB9" s="46" t="str">
        <f aca="false">IF($P9="","",TRIM(IF(AND($P9="Y",ISNUMBER(K9),ISNUMBER(Z9)),IF(Z9&gt;K9,"Above range max. ",""),"")&amp;IF(AND($P9="Y",ISNUMBER($X9),ISNUMBER($Y9)),IF($X9-$Y9&gt;0.005,"Capped at range max. ",""),"")&amp;IF(AND(AND(ISNUMBER($G9),$G9&gt;=0,$G9&lt;=1),$H9=""),"Override needs a reason. ","")&amp;IF(AND(AND(ISNUMBER($G9),$G9&gt;=0,$G9&lt;=1),$P9&lt;&gt;"Y"),"Override ignored. ","")&amp;IF(AND($G9&lt;&gt;"",NOT(AND(ISNUMBER($G9),$G9&gt;=0,$G9&lt;=1))),"Override not valid, ignored. ","")&amp;IF(AND($A9&lt;&gt;"",COUNTIF($A$5:$A$254,$A9)&gt;1),"Duplicate ID. ","")))</f>
        <v/>
      </c>
    </row>
    <row r="10" customFormat="false" ht="15" hidden="false" customHeight="false" outlineLevel="0" collapsed="false">
      <c r="A10" s="18" t="s">
        <v>138</v>
      </c>
      <c r="B10" s="38" t="s">
        <v>78</v>
      </c>
      <c r="C10" s="39" t="n">
        <v>44879</v>
      </c>
      <c r="D10" s="38" t="n">
        <v>3</v>
      </c>
      <c r="E10" s="19" t="n">
        <v>66000</v>
      </c>
      <c r="F10" s="38"/>
      <c r="G10" s="40"/>
      <c r="H10" s="18"/>
      <c r="I10" s="41" t="n">
        <f aca="false">IF(COUNTA($A10:$F10)=0,"",IF($B10="","",IFERROR(INDEX(Ranges!$B$5:$B$16,MATCH($B10,Ranges!$A$5:$A$16,0)),"")))</f>
        <v>50000</v>
      </c>
      <c r="J10" s="41" t="n">
        <f aca="false">IF(COUNTA($A10:$F10)=0,"",IF($B10="","",IFERROR(INDEX(Ranges!$C$5:$C$16,MATCH($B10,Ranges!$A$5:$A$16,0)),"")))</f>
        <v>62500</v>
      </c>
      <c r="K10" s="41" t="n">
        <f aca="false">IF(COUNTA($A10:$F10)=0,"",IF($B10="","",IFERROR(INDEX(Ranges!$D$5:$D$16,MATCH($B10,Ranges!$A$5:$A$16,0)),"")))</f>
        <v>75000</v>
      </c>
      <c r="L10" s="42" t="n">
        <f aca="false">IF(OR(NOT(ISNUMBER($E10)),NOT(ISNUMBER(J10))),"",IF(J10&gt;0,$E10/J10,""))</f>
        <v>1.056</v>
      </c>
      <c r="M10" s="43" t="n">
        <f aca="false">IF(OR(NOT(ISNUMBER($E10)),NOT(ISNUMBER(I10)),NOT(ISNUMBER(K10))),"",IF(K10&gt;I10,($E10-I10)/(K10-I10),""))</f>
        <v>0.64</v>
      </c>
      <c r="N10" s="42" t="n">
        <f aca="false">IF(Basis="Compa-ratio",L10,M10)</f>
        <v>1.056</v>
      </c>
      <c r="O10" s="44" t="n">
        <f aca="false">IF(ISNUMBER(N10),IFERROR(MATCH(N10,Matrix!$C$9:$G$9,1),1),"")</f>
        <v>4</v>
      </c>
      <c r="P10" s="45" t="str">
        <f aca="false">IF(COUNTA($A10:$F10)=0,"",IF(Q10="","Y","N"))</f>
        <v>Y</v>
      </c>
      <c r="Q10" s="46" t="str">
        <f aca="false">IF(COUNTA($A10:$F10)=0,"",IF($A10="","ID missing",IF(TRIM($F10)="Exclude","Excluded by plan status",IF(AND(TRIM($F10)&lt;&gt;"",TRIM($F10)&lt;&gt;"Include"),"Plan status not valid (use Include or Exclude)",IF(NOT(ISNUMBER($C10)),"Hire date missing or not a date",IF($C10&gt;Cutoff,"Hired after cutoff",IF(NOT(ISNUMBER($E10)),"Salary missing or not a number",IF($E10&lt;=0,"Salary missing or not a number",IF(OR(NOT(ISNUMBER(I10)),NOT(ISNUMBER(J10)),NOT(ISNUMBER(K10))),"Grade not found in Ranges",IF($D10="","Rating missing",IF($D10="NR","Not rated (NR)",IF(NOT(ISNUMBER(MATCH($D10,Matrix!$A$14:$A$18,0))),"Rating not valid (use 1 to 5 or NR)",IF(NOT(ISNUMBER(O10)),"Band not found (check range and limits)","")))))))))))))</f>
        <v/>
      </c>
      <c r="R10" s="47" t="n">
        <f aca="false">IF($P10="Y",INDEX(Matrix!$C$14:$G$18,MATCH($D10,Matrix!$A$14:$A$18,0),$O10),IF($P10="N",0,""))</f>
        <v>0.02</v>
      </c>
      <c r="S10" s="47" t="n">
        <f aca="false">IF($P10="Y",IF(AND(ISNUMBER($G10),$G10&gt;=0,$G10&lt;=1),$G10,$R10),IF($P10="N",0,""))</f>
        <v>0.02</v>
      </c>
      <c r="T10" s="48" t="n">
        <f aca="false">IF($P10&lt;&gt;"Y",IF($P10="N",0,""),IF(ProrateMethod="None",1,IF($C10&lt;=PeriodStart,1,IF(ProrateMethod="Daily",MAX(0,MIN(1,(PeriodEnd-$C10+1)/(PeriodEnd-PeriodStart+1))),MAX(0,MIN(1,((YEAR(PeriodEnd)-YEAR($C10))*12+MONTH(PeriodEnd)-MONTH($C10)+1-IF(DAY($C10)&gt;MonthCutDay,1,0))/PeriodMonths))))))</f>
        <v>1</v>
      </c>
      <c r="U10" s="47" t="n">
        <f aca="false">IF($P10="","",$S10*$T10)</f>
        <v>0.02</v>
      </c>
      <c r="V10" s="49" t="n">
        <f aca="false">IF($P10="","",IF(ISNUMBER($E10),$E10,0)*$R10)</f>
        <v>1320</v>
      </c>
      <c r="W10" s="49" t="n">
        <f aca="false">IF($P10="","",IF(ISNUMBER($E10),$E10,0)*$S10)</f>
        <v>1320</v>
      </c>
      <c r="X10" s="49" t="n">
        <f aca="false">IF($P10="","",IF(ISNUMBER($E10),$E10,0)*$U10)</f>
        <v>1320</v>
      </c>
      <c r="Y10" s="49" t="n">
        <f aca="false">IF($P10="","",IF(AND(CapAtMax="Yes",$P10="Y"),MAX(0,MIN($X10,$K10-$E10)),$X10))</f>
        <v>1320</v>
      </c>
      <c r="Z10" s="41" t="n">
        <f aca="false">IF(OR($P10="",NOT(ISNUMBER($E10))),"",$E10+$Y10)</f>
        <v>67320</v>
      </c>
      <c r="AA10" s="42" t="n">
        <f aca="false">IF(AND(ISNUMBER(Z10),ISNUMBER(J10)),IF(J10&gt;0,Z10/J10,""),"")</f>
        <v>1.07712</v>
      </c>
      <c r="AB10" s="46" t="str">
        <f aca="false">IF($P10="","",TRIM(IF(AND($P10="Y",ISNUMBER(K10),ISNUMBER(Z10)),IF(Z10&gt;K10,"Above range max. ",""),"")&amp;IF(AND($P10="Y",ISNUMBER($X10),ISNUMBER($Y10)),IF($X10-$Y10&gt;0.005,"Capped at range max. ",""),"")&amp;IF(AND(AND(ISNUMBER($G10),$G10&gt;=0,$G10&lt;=1),$H10=""),"Override needs a reason. ","")&amp;IF(AND(AND(ISNUMBER($G10),$G10&gt;=0,$G10&lt;=1),$P10&lt;&gt;"Y"),"Override ignored. ","")&amp;IF(AND($G10&lt;&gt;"",NOT(AND(ISNUMBER($G10),$G10&gt;=0,$G10&lt;=1))),"Override not valid, ignored. ","")&amp;IF(AND($A10&lt;&gt;"",COUNTIF($A$5:$A$254,$A10)&gt;1),"Duplicate ID. ","")))</f>
        <v/>
      </c>
    </row>
    <row r="11" customFormat="false" ht="15" hidden="false" customHeight="false" outlineLevel="0" collapsed="false">
      <c r="A11" s="18" t="s">
        <v>139</v>
      </c>
      <c r="B11" s="38" t="s">
        <v>78</v>
      </c>
      <c r="C11" s="39" t="n">
        <v>45341</v>
      </c>
      <c r="D11" s="38" t="n">
        <v>4</v>
      </c>
      <c r="E11" s="19" t="n">
        <v>55500</v>
      </c>
      <c r="F11" s="38"/>
      <c r="G11" s="40"/>
      <c r="H11" s="18"/>
      <c r="I11" s="41" t="n">
        <f aca="false">IF(COUNTA($A11:$F11)=0,"",IF($B11="","",IFERROR(INDEX(Ranges!$B$5:$B$16,MATCH($B11,Ranges!$A$5:$A$16,0)),"")))</f>
        <v>50000</v>
      </c>
      <c r="J11" s="41" t="n">
        <f aca="false">IF(COUNTA($A11:$F11)=0,"",IF($B11="","",IFERROR(INDEX(Ranges!$C$5:$C$16,MATCH($B11,Ranges!$A$5:$A$16,0)),"")))</f>
        <v>62500</v>
      </c>
      <c r="K11" s="41" t="n">
        <f aca="false">IF(COUNTA($A11:$F11)=0,"",IF($B11="","",IFERROR(INDEX(Ranges!$D$5:$D$16,MATCH($B11,Ranges!$A$5:$A$16,0)),"")))</f>
        <v>75000</v>
      </c>
      <c r="L11" s="42" t="n">
        <f aca="false">IF(OR(NOT(ISNUMBER($E11)),NOT(ISNUMBER(J11))),"",IF(J11&gt;0,$E11/J11,""))</f>
        <v>0.888</v>
      </c>
      <c r="M11" s="43" t="n">
        <f aca="false">IF(OR(NOT(ISNUMBER($E11)),NOT(ISNUMBER(I11)),NOT(ISNUMBER(K11))),"",IF(K11&gt;I11,($E11-I11)/(K11-I11),""))</f>
        <v>0.22</v>
      </c>
      <c r="N11" s="42" t="n">
        <f aca="false">IF(Basis="Compa-ratio",L11,M11)</f>
        <v>0.888</v>
      </c>
      <c r="O11" s="44" t="n">
        <f aca="false">IF(ISNUMBER(N11),IFERROR(MATCH(N11,Matrix!$C$9:$G$9,1),1),"")</f>
        <v>2</v>
      </c>
      <c r="P11" s="45" t="str">
        <f aca="false">IF(COUNTA($A11:$F11)=0,"",IF(Q11="","Y","N"))</f>
        <v>Y</v>
      </c>
      <c r="Q11" s="46" t="str">
        <f aca="false">IF(COUNTA($A11:$F11)=0,"",IF($A11="","ID missing",IF(TRIM($F11)="Exclude","Excluded by plan status",IF(AND(TRIM($F11)&lt;&gt;"",TRIM($F11)&lt;&gt;"Include"),"Plan status not valid (use Include or Exclude)",IF(NOT(ISNUMBER($C11)),"Hire date missing or not a date",IF($C11&gt;Cutoff,"Hired after cutoff",IF(NOT(ISNUMBER($E11)),"Salary missing or not a number",IF($E11&lt;=0,"Salary missing or not a number",IF(OR(NOT(ISNUMBER(I11)),NOT(ISNUMBER(J11)),NOT(ISNUMBER(K11))),"Grade not found in Ranges",IF($D11="","Rating missing",IF($D11="NR","Not rated (NR)",IF(NOT(ISNUMBER(MATCH($D11,Matrix!$A$14:$A$18,0))),"Rating not valid (use 1 to 5 or NR)",IF(NOT(ISNUMBER(O11)),"Band not found (check range and limits)","")))))))))))))</f>
        <v/>
      </c>
      <c r="R11" s="47" t="n">
        <f aca="false">IF($P11="Y",INDEX(Matrix!$C$14:$G$18,MATCH($D11,Matrix!$A$14:$A$18,0),$O11),IF($P11="N",0,""))</f>
        <v>0.05</v>
      </c>
      <c r="S11" s="47" t="n">
        <f aca="false">IF($P11="Y",IF(AND(ISNUMBER($G11),$G11&gt;=0,$G11&lt;=1),$G11,$R11),IF($P11="N",0,""))</f>
        <v>0.05</v>
      </c>
      <c r="T11" s="48" t="n">
        <f aca="false">IF($P11&lt;&gt;"Y",IF($P11="N",0,""),IF(ProrateMethod="None",1,IF($C11&lt;=PeriodStart,1,IF(ProrateMethod="Daily",MAX(0,MIN(1,(PeriodEnd-$C11+1)/(PeriodEnd-PeriodStart+1))),MAX(0,MIN(1,((YEAR(PeriodEnd)-YEAR($C11))*12+MONTH(PeriodEnd)-MONTH($C11)+1-IF(DAY($C11)&gt;MonthCutDay,1,0))/PeriodMonths))))))</f>
        <v>1</v>
      </c>
      <c r="U11" s="47" t="n">
        <f aca="false">IF($P11="","",$S11*$T11)</f>
        <v>0.05</v>
      </c>
      <c r="V11" s="49" t="n">
        <f aca="false">IF($P11="","",IF(ISNUMBER($E11),$E11,0)*$R11)</f>
        <v>2775</v>
      </c>
      <c r="W11" s="49" t="n">
        <f aca="false">IF($P11="","",IF(ISNUMBER($E11),$E11,0)*$S11)</f>
        <v>2775</v>
      </c>
      <c r="X11" s="49" t="n">
        <f aca="false">IF($P11="","",IF(ISNUMBER($E11),$E11,0)*$U11)</f>
        <v>2775</v>
      </c>
      <c r="Y11" s="49" t="n">
        <f aca="false">IF($P11="","",IF(AND(CapAtMax="Yes",$P11="Y"),MAX(0,MIN($X11,$K11-$E11)),$X11))</f>
        <v>2775</v>
      </c>
      <c r="Z11" s="41" t="n">
        <f aca="false">IF(OR($P11="",NOT(ISNUMBER($E11))),"",$E11+$Y11)</f>
        <v>58275</v>
      </c>
      <c r="AA11" s="42" t="n">
        <f aca="false">IF(AND(ISNUMBER(Z11),ISNUMBER(J11)),IF(J11&gt;0,Z11/J11,""),"")</f>
        <v>0.9324</v>
      </c>
      <c r="AB11" s="46" t="str">
        <f aca="false">IF($P11="","",TRIM(IF(AND($P11="Y",ISNUMBER(K11),ISNUMBER(Z11)),IF(Z11&gt;K11,"Above range max. ",""),"")&amp;IF(AND($P11="Y",ISNUMBER($X11),ISNUMBER($Y11)),IF($X11-$Y11&gt;0.005,"Capped at range max. ",""),"")&amp;IF(AND(AND(ISNUMBER($G11),$G11&gt;=0,$G11&lt;=1),$H11=""),"Override needs a reason. ","")&amp;IF(AND(AND(ISNUMBER($G11),$G11&gt;=0,$G11&lt;=1),$P11&lt;&gt;"Y"),"Override ignored. ","")&amp;IF(AND($G11&lt;&gt;"",NOT(AND(ISNUMBER($G11),$G11&gt;=0,$G11&lt;=1))),"Override not valid, ignored. ","")&amp;IF(AND($A11&lt;&gt;"",COUNTIF($A$5:$A$254,$A11)&gt;1),"Duplicate ID. ","")))</f>
        <v/>
      </c>
    </row>
    <row r="12" customFormat="false" ht="15" hidden="false" customHeight="false" outlineLevel="0" collapsed="false">
      <c r="A12" s="18" t="s">
        <v>140</v>
      </c>
      <c r="B12" s="38" t="s">
        <v>78</v>
      </c>
      <c r="C12" s="39" t="n">
        <v>43227</v>
      </c>
      <c r="D12" s="38" t="n">
        <v>3</v>
      </c>
      <c r="E12" s="19" t="n">
        <v>74000</v>
      </c>
      <c r="F12" s="38"/>
      <c r="G12" s="40"/>
      <c r="H12" s="18"/>
      <c r="I12" s="41" t="n">
        <f aca="false">IF(COUNTA($A12:$F12)=0,"",IF($B12="","",IFERROR(INDEX(Ranges!$B$5:$B$16,MATCH($B12,Ranges!$A$5:$A$16,0)),"")))</f>
        <v>50000</v>
      </c>
      <c r="J12" s="41" t="n">
        <f aca="false">IF(COUNTA($A12:$F12)=0,"",IF($B12="","",IFERROR(INDEX(Ranges!$C$5:$C$16,MATCH($B12,Ranges!$A$5:$A$16,0)),"")))</f>
        <v>62500</v>
      </c>
      <c r="K12" s="41" t="n">
        <f aca="false">IF(COUNTA($A12:$F12)=0,"",IF($B12="","",IFERROR(INDEX(Ranges!$D$5:$D$16,MATCH($B12,Ranges!$A$5:$A$16,0)),"")))</f>
        <v>75000</v>
      </c>
      <c r="L12" s="42" t="n">
        <f aca="false">IF(OR(NOT(ISNUMBER($E12)),NOT(ISNUMBER(J12))),"",IF(J12&gt;0,$E12/J12,""))</f>
        <v>1.184</v>
      </c>
      <c r="M12" s="43" t="n">
        <f aca="false">IF(OR(NOT(ISNUMBER($E12)),NOT(ISNUMBER(I12)),NOT(ISNUMBER(K12))),"",IF(K12&gt;I12,($E12-I12)/(K12-I12),""))</f>
        <v>0.96</v>
      </c>
      <c r="N12" s="42" t="n">
        <f aca="false">IF(Basis="Compa-ratio",L12,M12)</f>
        <v>1.184</v>
      </c>
      <c r="O12" s="44" t="n">
        <f aca="false">IF(ISNUMBER(N12),IFERROR(MATCH(N12,Matrix!$C$9:$G$9,1),1),"")</f>
        <v>5</v>
      </c>
      <c r="P12" s="45" t="str">
        <f aca="false">IF(COUNTA($A12:$F12)=0,"",IF(Q12="","Y","N"))</f>
        <v>Y</v>
      </c>
      <c r="Q12" s="46" t="str">
        <f aca="false">IF(COUNTA($A12:$F12)=0,"",IF($A12="","ID missing",IF(TRIM($F12)="Exclude","Excluded by plan status",IF(AND(TRIM($F12)&lt;&gt;"",TRIM($F12)&lt;&gt;"Include"),"Plan status not valid (use Include or Exclude)",IF(NOT(ISNUMBER($C12)),"Hire date missing or not a date",IF($C12&gt;Cutoff,"Hired after cutoff",IF(NOT(ISNUMBER($E12)),"Salary missing or not a number",IF($E12&lt;=0,"Salary missing or not a number",IF(OR(NOT(ISNUMBER(I12)),NOT(ISNUMBER(J12)),NOT(ISNUMBER(K12))),"Grade not found in Ranges",IF($D12="","Rating missing",IF($D12="NR","Not rated (NR)",IF(NOT(ISNUMBER(MATCH($D12,Matrix!$A$14:$A$18,0))),"Rating not valid (use 1 to 5 or NR)",IF(NOT(ISNUMBER(O12)),"Band not found (check range and limits)","")))))))))))))</f>
        <v/>
      </c>
      <c r="R12" s="47" t="n">
        <f aca="false">IF($P12="Y",INDEX(Matrix!$C$14:$G$18,MATCH($D12,Matrix!$A$14:$A$18,0),$O12),IF($P12="N",0,""))</f>
        <v>0.01</v>
      </c>
      <c r="S12" s="47" t="n">
        <f aca="false">IF($P12="Y",IF(AND(ISNUMBER($G12),$G12&gt;=0,$G12&lt;=1),$G12,$R12),IF($P12="N",0,""))</f>
        <v>0.01</v>
      </c>
      <c r="T12" s="48" t="n">
        <f aca="false">IF($P12&lt;&gt;"Y",IF($P12="N",0,""),IF(ProrateMethod="None",1,IF($C12&lt;=PeriodStart,1,IF(ProrateMethod="Daily",MAX(0,MIN(1,(PeriodEnd-$C12+1)/(PeriodEnd-PeriodStart+1))),MAX(0,MIN(1,((YEAR(PeriodEnd)-YEAR($C12))*12+MONTH(PeriodEnd)-MONTH($C12)+1-IF(DAY($C12)&gt;MonthCutDay,1,0))/PeriodMonths))))))</f>
        <v>1</v>
      </c>
      <c r="U12" s="47" t="n">
        <f aca="false">IF($P12="","",$S12*$T12)</f>
        <v>0.01</v>
      </c>
      <c r="V12" s="49" t="n">
        <f aca="false">IF($P12="","",IF(ISNUMBER($E12),$E12,0)*$R12)</f>
        <v>740</v>
      </c>
      <c r="W12" s="49" t="n">
        <f aca="false">IF($P12="","",IF(ISNUMBER($E12),$E12,0)*$S12)</f>
        <v>740</v>
      </c>
      <c r="X12" s="49" t="n">
        <f aca="false">IF($P12="","",IF(ISNUMBER($E12),$E12,0)*$U12)</f>
        <v>740</v>
      </c>
      <c r="Y12" s="49" t="n">
        <f aca="false">IF($P12="","",IF(AND(CapAtMax="Yes",$P12="Y"),MAX(0,MIN($X12,$K12-$E12)),$X12))</f>
        <v>740</v>
      </c>
      <c r="Z12" s="41" t="n">
        <f aca="false">IF(OR($P12="",NOT(ISNUMBER($E12))),"",$E12+$Y12)</f>
        <v>74740</v>
      </c>
      <c r="AA12" s="42" t="n">
        <f aca="false">IF(AND(ISNUMBER(Z12),ISNUMBER(J12)),IF(J12&gt;0,Z12/J12,""),"")</f>
        <v>1.19584</v>
      </c>
      <c r="AB12" s="46" t="str">
        <f aca="false">IF($P12="","",TRIM(IF(AND($P12="Y",ISNUMBER(K12),ISNUMBER(Z12)),IF(Z12&gt;K12,"Above range max. ",""),"")&amp;IF(AND($P12="Y",ISNUMBER($X12),ISNUMBER($Y12)),IF($X12-$Y12&gt;0.005,"Capped at range max. ",""),"")&amp;IF(AND(AND(ISNUMBER($G12),$G12&gt;=0,$G12&lt;=1),$H12=""),"Override needs a reason. ","")&amp;IF(AND(AND(ISNUMBER($G12),$G12&gt;=0,$G12&lt;=1),$P12&lt;&gt;"Y"),"Override ignored. ","")&amp;IF(AND($G12&lt;&gt;"",NOT(AND(ISNUMBER($G12),$G12&gt;=0,$G12&lt;=1))),"Override not valid, ignored. ","")&amp;IF(AND($A12&lt;&gt;"",COUNTIF($A$5:$A$254,$A12)&gt;1),"Duplicate ID. ","")))</f>
        <v/>
      </c>
    </row>
    <row r="13" customFormat="false" ht="15" hidden="false" customHeight="false" outlineLevel="0" collapsed="false">
      <c r="A13" s="18" t="s">
        <v>141</v>
      </c>
      <c r="B13" s="38" t="s">
        <v>78</v>
      </c>
      <c r="C13" s="39" t="n">
        <v>46204</v>
      </c>
      <c r="D13" s="38" t="n">
        <v>4</v>
      </c>
      <c r="E13" s="19" t="n">
        <v>60000</v>
      </c>
      <c r="F13" s="38"/>
      <c r="G13" s="40"/>
      <c r="H13" s="18"/>
      <c r="I13" s="41" t="n">
        <f aca="false">IF(COUNTA($A13:$F13)=0,"",IF($B13="","",IFERROR(INDEX(Ranges!$B$5:$B$16,MATCH($B13,Ranges!$A$5:$A$16,0)),"")))</f>
        <v>50000</v>
      </c>
      <c r="J13" s="41" t="n">
        <f aca="false">IF(COUNTA($A13:$F13)=0,"",IF($B13="","",IFERROR(INDEX(Ranges!$C$5:$C$16,MATCH($B13,Ranges!$A$5:$A$16,0)),"")))</f>
        <v>62500</v>
      </c>
      <c r="K13" s="41" t="n">
        <f aca="false">IF(COUNTA($A13:$F13)=0,"",IF($B13="","",IFERROR(INDEX(Ranges!$D$5:$D$16,MATCH($B13,Ranges!$A$5:$A$16,0)),"")))</f>
        <v>75000</v>
      </c>
      <c r="L13" s="42" t="n">
        <f aca="false">IF(OR(NOT(ISNUMBER($E13)),NOT(ISNUMBER(J13))),"",IF(J13&gt;0,$E13/J13,""))</f>
        <v>0.96</v>
      </c>
      <c r="M13" s="43" t="n">
        <f aca="false">IF(OR(NOT(ISNUMBER($E13)),NOT(ISNUMBER(I13)),NOT(ISNUMBER(K13))),"",IF(K13&gt;I13,($E13-I13)/(K13-I13),""))</f>
        <v>0.4</v>
      </c>
      <c r="N13" s="42" t="n">
        <f aca="false">IF(Basis="Compa-ratio",L13,M13)</f>
        <v>0.96</v>
      </c>
      <c r="O13" s="44" t="n">
        <f aca="false">IF(ISNUMBER(N13),IFERROR(MATCH(N13,Matrix!$C$9:$G$9,1),1),"")</f>
        <v>3</v>
      </c>
      <c r="P13" s="45" t="str">
        <f aca="false">IF(COUNTA($A13:$F13)=0,"",IF(Q13="","Y","N"))</f>
        <v>Y</v>
      </c>
      <c r="Q13" s="46" t="str">
        <f aca="false">IF(COUNTA($A13:$F13)=0,"",IF($A13="","ID missing",IF(TRIM($F13)="Exclude","Excluded by plan status",IF(AND(TRIM($F13)&lt;&gt;"",TRIM($F13)&lt;&gt;"Include"),"Plan status not valid (use Include or Exclude)",IF(NOT(ISNUMBER($C13)),"Hire date missing or not a date",IF($C13&gt;Cutoff,"Hired after cutoff",IF(NOT(ISNUMBER($E13)),"Salary missing or not a number",IF($E13&lt;=0,"Salary missing or not a number",IF(OR(NOT(ISNUMBER(I13)),NOT(ISNUMBER(J13)),NOT(ISNUMBER(K13))),"Grade not found in Ranges",IF($D13="","Rating missing",IF($D13="NR","Not rated (NR)",IF(NOT(ISNUMBER(MATCH($D13,Matrix!$A$14:$A$18,0))),"Rating not valid (use 1 to 5 or NR)",IF(NOT(ISNUMBER(O13)),"Band not found (check range and limits)","")))))))))))))</f>
        <v/>
      </c>
      <c r="R13" s="47" t="n">
        <f aca="false">IF($P13="Y",INDEX(Matrix!$C$14:$G$18,MATCH($D13,Matrix!$A$14:$A$18,0),$O13),IF($P13="N",0,""))</f>
        <v>0.04</v>
      </c>
      <c r="S13" s="47" t="n">
        <f aca="false">IF($P13="Y",IF(AND(ISNUMBER($G13),$G13&gt;=0,$G13&lt;=1),$G13,$R13),IF($P13="N",0,""))</f>
        <v>0.04</v>
      </c>
      <c r="T13" s="48" t="n">
        <f aca="false">IF($P13&lt;&gt;"Y",IF($P13="N",0,""),IF(ProrateMethod="None",1,IF($C13&lt;=PeriodStart,1,IF(ProrateMethod="Daily",MAX(0,MIN(1,(PeriodEnd-$C13+1)/(PeriodEnd-PeriodStart+1))),MAX(0,MIN(1,((YEAR(PeriodEnd)-YEAR($C13))*12+MONTH(PeriodEnd)-MONTH($C13)+1-IF(DAY($C13)&gt;MonthCutDay,1,0))/PeriodMonths))))))</f>
        <v>0.5</v>
      </c>
      <c r="U13" s="47" t="n">
        <f aca="false">IF($P13="","",$S13*$T13)</f>
        <v>0.02</v>
      </c>
      <c r="V13" s="49" t="n">
        <f aca="false">IF($P13="","",IF(ISNUMBER($E13),$E13,0)*$R13)</f>
        <v>2400</v>
      </c>
      <c r="W13" s="49" t="n">
        <f aca="false">IF($P13="","",IF(ISNUMBER($E13),$E13,0)*$S13)</f>
        <v>2400</v>
      </c>
      <c r="X13" s="49" t="n">
        <f aca="false">IF($P13="","",IF(ISNUMBER($E13),$E13,0)*$U13)</f>
        <v>1200</v>
      </c>
      <c r="Y13" s="49" t="n">
        <f aca="false">IF($P13="","",IF(AND(CapAtMax="Yes",$P13="Y"),MAX(0,MIN($X13,$K13-$E13)),$X13))</f>
        <v>1200</v>
      </c>
      <c r="Z13" s="41" t="n">
        <f aca="false">IF(OR($P13="",NOT(ISNUMBER($E13))),"",$E13+$Y13)</f>
        <v>61200</v>
      </c>
      <c r="AA13" s="42" t="n">
        <f aca="false">IF(AND(ISNUMBER(Z13),ISNUMBER(J13)),IF(J13&gt;0,Z13/J13,""),"")</f>
        <v>0.9792</v>
      </c>
      <c r="AB13" s="46" t="str">
        <f aca="false">IF($P13="","",TRIM(IF(AND($P13="Y",ISNUMBER(K13),ISNUMBER(Z13)),IF(Z13&gt;K13,"Above range max. ",""),"")&amp;IF(AND($P13="Y",ISNUMBER($X13),ISNUMBER($Y13)),IF($X13-$Y13&gt;0.005,"Capped at range max. ",""),"")&amp;IF(AND(AND(ISNUMBER($G13),$G13&gt;=0,$G13&lt;=1),$H13=""),"Override needs a reason. ","")&amp;IF(AND(AND(ISNUMBER($G13),$G13&gt;=0,$G13&lt;=1),$P13&lt;&gt;"Y"),"Override ignored. ","")&amp;IF(AND($G13&lt;&gt;"",NOT(AND(ISNUMBER($G13),$G13&gt;=0,$G13&lt;=1))),"Override not valid, ignored. ","")&amp;IF(AND($A13&lt;&gt;"",COUNTIF($A$5:$A$254,$A13)&gt;1),"Duplicate ID. ","")))</f>
        <v/>
      </c>
    </row>
    <row r="14" customFormat="false" ht="15" hidden="false" customHeight="false" outlineLevel="0" collapsed="false">
      <c r="A14" s="18" t="s">
        <v>142</v>
      </c>
      <c r="B14" s="38" t="s">
        <v>79</v>
      </c>
      <c r="C14" s="39" t="n">
        <v>44431</v>
      </c>
      <c r="D14" s="38" t="n">
        <v>3</v>
      </c>
      <c r="E14" s="19" t="n">
        <v>80000</v>
      </c>
      <c r="F14" s="38"/>
      <c r="G14" s="40"/>
      <c r="H14" s="18"/>
      <c r="I14" s="41" t="n">
        <f aca="false">IF(COUNTA($A14:$F14)=0,"",IF($B14="","",IFERROR(INDEX(Ranges!$B$5:$B$16,MATCH($B14,Ranges!$A$5:$A$16,0)),"")))</f>
        <v>62000</v>
      </c>
      <c r="J14" s="41" t="n">
        <f aca="false">IF(COUNTA($A14:$F14)=0,"",IF($B14="","",IFERROR(INDEX(Ranges!$C$5:$C$16,MATCH($B14,Ranges!$A$5:$A$16,0)),"")))</f>
        <v>77500</v>
      </c>
      <c r="K14" s="41" t="n">
        <f aca="false">IF(COUNTA($A14:$F14)=0,"",IF($B14="","",IFERROR(INDEX(Ranges!$D$5:$D$16,MATCH($B14,Ranges!$A$5:$A$16,0)),"")))</f>
        <v>93000</v>
      </c>
      <c r="L14" s="42" t="n">
        <f aca="false">IF(OR(NOT(ISNUMBER($E14)),NOT(ISNUMBER(J14))),"",IF(J14&gt;0,$E14/J14,""))</f>
        <v>1.03225806451613</v>
      </c>
      <c r="M14" s="43" t="n">
        <f aca="false">IF(OR(NOT(ISNUMBER($E14)),NOT(ISNUMBER(I14)),NOT(ISNUMBER(K14))),"",IF(K14&gt;I14,($E14-I14)/(K14-I14),""))</f>
        <v>0.580645161290323</v>
      </c>
      <c r="N14" s="42" t="n">
        <f aca="false">IF(Basis="Compa-ratio",L14,M14)</f>
        <v>1.03225806451613</v>
      </c>
      <c r="O14" s="44" t="n">
        <f aca="false">IF(ISNUMBER(N14),IFERROR(MATCH(N14,Matrix!$C$9:$G$9,1),1),"")</f>
        <v>3</v>
      </c>
      <c r="P14" s="45" t="str">
        <f aca="false">IF(COUNTA($A14:$F14)=0,"",IF(Q14="","Y","N"))</f>
        <v>Y</v>
      </c>
      <c r="Q14" s="46" t="str">
        <f aca="false">IF(COUNTA($A14:$F14)=0,"",IF($A14="","ID missing",IF(TRIM($F14)="Exclude","Excluded by plan status",IF(AND(TRIM($F14)&lt;&gt;"",TRIM($F14)&lt;&gt;"Include"),"Plan status not valid (use Include or Exclude)",IF(NOT(ISNUMBER($C14)),"Hire date missing or not a date",IF($C14&gt;Cutoff,"Hired after cutoff",IF(NOT(ISNUMBER($E14)),"Salary missing or not a number",IF($E14&lt;=0,"Salary missing or not a number",IF(OR(NOT(ISNUMBER(I14)),NOT(ISNUMBER(J14)),NOT(ISNUMBER(K14))),"Grade not found in Ranges",IF($D14="","Rating missing",IF($D14="NR","Not rated (NR)",IF(NOT(ISNUMBER(MATCH($D14,Matrix!$A$14:$A$18,0))),"Rating not valid (use 1 to 5 or NR)",IF(NOT(ISNUMBER(O14)),"Band not found (check range and limits)","")))))))))))))</f>
        <v/>
      </c>
      <c r="R14" s="47" t="n">
        <f aca="false">IF($P14="Y",INDEX(Matrix!$C$14:$G$18,MATCH($D14,Matrix!$A$14:$A$18,0),$O14),IF($P14="N",0,""))</f>
        <v>0.03</v>
      </c>
      <c r="S14" s="47" t="n">
        <f aca="false">IF($P14="Y",IF(AND(ISNUMBER($G14),$G14&gt;=0,$G14&lt;=1),$G14,$R14),IF($P14="N",0,""))</f>
        <v>0.03</v>
      </c>
      <c r="T14" s="48" t="n">
        <f aca="false">IF($P14&lt;&gt;"Y",IF($P14="N",0,""),IF(ProrateMethod="None",1,IF($C14&lt;=PeriodStart,1,IF(ProrateMethod="Daily",MAX(0,MIN(1,(PeriodEnd-$C14+1)/(PeriodEnd-PeriodStart+1))),MAX(0,MIN(1,((YEAR(PeriodEnd)-YEAR($C14))*12+MONTH(PeriodEnd)-MONTH($C14)+1-IF(DAY($C14)&gt;MonthCutDay,1,0))/PeriodMonths))))))</f>
        <v>1</v>
      </c>
      <c r="U14" s="47" t="n">
        <f aca="false">IF($P14="","",$S14*$T14)</f>
        <v>0.03</v>
      </c>
      <c r="V14" s="49" t="n">
        <f aca="false">IF($P14="","",IF(ISNUMBER($E14),$E14,0)*$R14)</f>
        <v>2400</v>
      </c>
      <c r="W14" s="49" t="n">
        <f aca="false">IF($P14="","",IF(ISNUMBER($E14),$E14,0)*$S14)</f>
        <v>2400</v>
      </c>
      <c r="X14" s="49" t="n">
        <f aca="false">IF($P14="","",IF(ISNUMBER($E14),$E14,0)*$U14)</f>
        <v>2400</v>
      </c>
      <c r="Y14" s="49" t="n">
        <f aca="false">IF($P14="","",IF(AND(CapAtMax="Yes",$P14="Y"),MAX(0,MIN($X14,$K14-$E14)),$X14))</f>
        <v>2400</v>
      </c>
      <c r="Z14" s="41" t="n">
        <f aca="false">IF(OR($P14="",NOT(ISNUMBER($E14))),"",$E14+$Y14)</f>
        <v>82400</v>
      </c>
      <c r="AA14" s="42" t="n">
        <f aca="false">IF(AND(ISNUMBER(Z14),ISNUMBER(J14)),IF(J14&gt;0,Z14/J14,""),"")</f>
        <v>1.06322580645161</v>
      </c>
      <c r="AB14" s="46" t="str">
        <f aca="false">IF($P14="","",TRIM(IF(AND($P14="Y",ISNUMBER(K14),ISNUMBER(Z14)),IF(Z14&gt;K14,"Above range max. ",""),"")&amp;IF(AND($P14="Y",ISNUMBER($X14),ISNUMBER($Y14)),IF($X14-$Y14&gt;0.005,"Capped at range max. ",""),"")&amp;IF(AND(AND(ISNUMBER($G14),$G14&gt;=0,$G14&lt;=1),$H14=""),"Override needs a reason. ","")&amp;IF(AND(AND(ISNUMBER($G14),$G14&gt;=0,$G14&lt;=1),$P14&lt;&gt;"Y"),"Override ignored. ","")&amp;IF(AND($G14&lt;&gt;"",NOT(AND(ISNUMBER($G14),$G14&gt;=0,$G14&lt;=1))),"Override not valid, ignored. ","")&amp;IF(AND($A14&lt;&gt;"",COUNTIF($A$5:$A$254,$A14)&gt;1),"Duplicate ID. ","")))</f>
        <v/>
      </c>
    </row>
    <row r="15" customFormat="false" ht="15" hidden="false" customHeight="false" outlineLevel="0" collapsed="false">
      <c r="A15" s="18" t="s">
        <v>143</v>
      </c>
      <c r="B15" s="38" t="s">
        <v>79</v>
      </c>
      <c r="C15" s="39" t="n">
        <v>44935</v>
      </c>
      <c r="D15" s="38" t="n">
        <v>5</v>
      </c>
      <c r="E15" s="19" t="n">
        <v>68000</v>
      </c>
      <c r="F15" s="38"/>
      <c r="G15" s="40"/>
      <c r="H15" s="18"/>
      <c r="I15" s="41" t="n">
        <f aca="false">IF(COUNTA($A15:$F15)=0,"",IF($B15="","",IFERROR(INDEX(Ranges!$B$5:$B$16,MATCH($B15,Ranges!$A$5:$A$16,0)),"")))</f>
        <v>62000</v>
      </c>
      <c r="J15" s="41" t="n">
        <f aca="false">IF(COUNTA($A15:$F15)=0,"",IF($B15="","",IFERROR(INDEX(Ranges!$C$5:$C$16,MATCH($B15,Ranges!$A$5:$A$16,0)),"")))</f>
        <v>77500</v>
      </c>
      <c r="K15" s="41" t="n">
        <f aca="false">IF(COUNTA($A15:$F15)=0,"",IF($B15="","",IFERROR(INDEX(Ranges!$D$5:$D$16,MATCH($B15,Ranges!$A$5:$A$16,0)),"")))</f>
        <v>93000</v>
      </c>
      <c r="L15" s="42" t="n">
        <f aca="false">IF(OR(NOT(ISNUMBER($E15)),NOT(ISNUMBER(J15))),"",IF(J15&gt;0,$E15/J15,""))</f>
        <v>0.87741935483871</v>
      </c>
      <c r="M15" s="43" t="n">
        <f aca="false">IF(OR(NOT(ISNUMBER($E15)),NOT(ISNUMBER(I15)),NOT(ISNUMBER(K15))),"",IF(K15&gt;I15,($E15-I15)/(K15-I15),""))</f>
        <v>0.193548387096774</v>
      </c>
      <c r="N15" s="42" t="n">
        <f aca="false">IF(Basis="Compa-ratio",L15,M15)</f>
        <v>0.87741935483871</v>
      </c>
      <c r="O15" s="44" t="n">
        <f aca="false">IF(ISNUMBER(N15),IFERROR(MATCH(N15,Matrix!$C$9:$G$9,1),1),"")</f>
        <v>2</v>
      </c>
      <c r="P15" s="45" t="str">
        <f aca="false">IF(COUNTA($A15:$F15)=0,"",IF(Q15="","Y","N"))</f>
        <v>Y</v>
      </c>
      <c r="Q15" s="46" t="str">
        <f aca="false">IF(COUNTA($A15:$F15)=0,"",IF($A15="","ID missing",IF(TRIM($F15)="Exclude","Excluded by plan status",IF(AND(TRIM($F15)&lt;&gt;"",TRIM($F15)&lt;&gt;"Include"),"Plan status not valid (use Include or Exclude)",IF(NOT(ISNUMBER($C15)),"Hire date missing or not a date",IF($C15&gt;Cutoff,"Hired after cutoff",IF(NOT(ISNUMBER($E15)),"Salary missing or not a number",IF($E15&lt;=0,"Salary missing or not a number",IF(OR(NOT(ISNUMBER(I15)),NOT(ISNUMBER(J15)),NOT(ISNUMBER(K15))),"Grade not found in Ranges",IF($D15="","Rating missing",IF($D15="NR","Not rated (NR)",IF(NOT(ISNUMBER(MATCH($D15,Matrix!$A$14:$A$18,0))),"Rating not valid (use 1 to 5 or NR)",IF(NOT(ISNUMBER(O15)),"Band not found (check range and limits)","")))))))))))))</f>
        <v/>
      </c>
      <c r="R15" s="47" t="n">
        <f aca="false">IF($P15="Y",INDEX(Matrix!$C$14:$G$18,MATCH($D15,Matrix!$A$14:$A$18,0),$O15),IF($P15="N",0,""))</f>
        <v>0.06</v>
      </c>
      <c r="S15" s="47" t="n">
        <f aca="false">IF($P15="Y",IF(AND(ISNUMBER($G15),$G15&gt;=0,$G15&lt;=1),$G15,$R15),IF($P15="N",0,""))</f>
        <v>0.06</v>
      </c>
      <c r="T15" s="48" t="n">
        <f aca="false">IF($P15&lt;&gt;"Y",IF($P15="N",0,""),IF(ProrateMethod="None",1,IF($C15&lt;=PeriodStart,1,IF(ProrateMethod="Daily",MAX(0,MIN(1,(PeriodEnd-$C15+1)/(PeriodEnd-PeriodStart+1))),MAX(0,MIN(1,((YEAR(PeriodEnd)-YEAR($C15))*12+MONTH(PeriodEnd)-MONTH($C15)+1-IF(DAY($C15)&gt;MonthCutDay,1,0))/PeriodMonths))))))</f>
        <v>1</v>
      </c>
      <c r="U15" s="47" t="n">
        <f aca="false">IF($P15="","",$S15*$T15)</f>
        <v>0.06</v>
      </c>
      <c r="V15" s="49" t="n">
        <f aca="false">IF($P15="","",IF(ISNUMBER($E15),$E15,0)*$R15)</f>
        <v>4080</v>
      </c>
      <c r="W15" s="49" t="n">
        <f aca="false">IF($P15="","",IF(ISNUMBER($E15),$E15,0)*$S15)</f>
        <v>4080</v>
      </c>
      <c r="X15" s="49" t="n">
        <f aca="false">IF($P15="","",IF(ISNUMBER($E15),$E15,0)*$U15)</f>
        <v>4080</v>
      </c>
      <c r="Y15" s="49" t="n">
        <f aca="false">IF($P15="","",IF(AND(CapAtMax="Yes",$P15="Y"),MAX(0,MIN($X15,$K15-$E15)),$X15))</f>
        <v>4080</v>
      </c>
      <c r="Z15" s="41" t="n">
        <f aca="false">IF(OR($P15="",NOT(ISNUMBER($E15))),"",$E15+$Y15)</f>
        <v>72080</v>
      </c>
      <c r="AA15" s="42" t="n">
        <f aca="false">IF(AND(ISNUMBER(Z15),ISNUMBER(J15)),IF(J15&gt;0,Z15/J15,""),"")</f>
        <v>0.930064516129032</v>
      </c>
      <c r="AB15" s="46" t="str">
        <f aca="false">IF($P15="","",TRIM(IF(AND($P15="Y",ISNUMBER(K15),ISNUMBER(Z15)),IF(Z15&gt;K15,"Above range max. ",""),"")&amp;IF(AND($P15="Y",ISNUMBER($X15),ISNUMBER($Y15)),IF($X15-$Y15&gt;0.005,"Capped at range max. ",""),"")&amp;IF(AND(AND(ISNUMBER($G15),$G15&gt;=0,$G15&lt;=1),$H15=""),"Override needs a reason. ","")&amp;IF(AND(AND(ISNUMBER($G15),$G15&gt;=0,$G15&lt;=1),$P15&lt;&gt;"Y"),"Override ignored. ","")&amp;IF(AND($G15&lt;&gt;"",NOT(AND(ISNUMBER($G15),$G15&gt;=0,$G15&lt;=1))),"Override not valid, ignored. ","")&amp;IF(AND($A15&lt;&gt;"",COUNTIF($A$5:$A$254,$A15)&gt;1),"Duplicate ID. ","")))</f>
        <v/>
      </c>
    </row>
    <row r="16" customFormat="false" ht="15" hidden="false" customHeight="false" outlineLevel="0" collapsed="false">
      <c r="A16" s="18" t="s">
        <v>144</v>
      </c>
      <c r="B16" s="38" t="s">
        <v>79</v>
      </c>
      <c r="C16" s="39" t="n">
        <v>43556</v>
      </c>
      <c r="D16" s="38" t="n">
        <v>4</v>
      </c>
      <c r="E16" s="19" t="n">
        <v>90500</v>
      </c>
      <c r="F16" s="38"/>
      <c r="G16" s="40"/>
      <c r="H16" s="18"/>
      <c r="I16" s="41" t="n">
        <f aca="false">IF(COUNTA($A16:$F16)=0,"",IF($B16="","",IFERROR(INDEX(Ranges!$B$5:$B$16,MATCH($B16,Ranges!$A$5:$A$16,0)),"")))</f>
        <v>62000</v>
      </c>
      <c r="J16" s="41" t="n">
        <f aca="false">IF(COUNTA($A16:$F16)=0,"",IF($B16="","",IFERROR(INDEX(Ranges!$C$5:$C$16,MATCH($B16,Ranges!$A$5:$A$16,0)),"")))</f>
        <v>77500</v>
      </c>
      <c r="K16" s="41" t="n">
        <f aca="false">IF(COUNTA($A16:$F16)=0,"",IF($B16="","",IFERROR(INDEX(Ranges!$D$5:$D$16,MATCH($B16,Ranges!$A$5:$A$16,0)),"")))</f>
        <v>93000</v>
      </c>
      <c r="L16" s="42" t="n">
        <f aca="false">IF(OR(NOT(ISNUMBER($E16)),NOT(ISNUMBER(J16))),"",IF(J16&gt;0,$E16/J16,""))</f>
        <v>1.16774193548387</v>
      </c>
      <c r="M16" s="43" t="n">
        <f aca="false">IF(OR(NOT(ISNUMBER($E16)),NOT(ISNUMBER(I16)),NOT(ISNUMBER(K16))),"",IF(K16&gt;I16,($E16-I16)/(K16-I16),""))</f>
        <v>0.919354838709677</v>
      </c>
      <c r="N16" s="42" t="n">
        <f aca="false">IF(Basis="Compa-ratio",L16,M16)</f>
        <v>1.16774193548387</v>
      </c>
      <c r="O16" s="44" t="n">
        <f aca="false">IF(ISNUMBER(N16),IFERROR(MATCH(N16,Matrix!$C$9:$G$9,1),1),"")</f>
        <v>5</v>
      </c>
      <c r="P16" s="45" t="str">
        <f aca="false">IF(COUNTA($A16:$F16)=0,"",IF(Q16="","Y","N"))</f>
        <v>Y</v>
      </c>
      <c r="Q16" s="46" t="str">
        <f aca="false">IF(COUNTA($A16:$F16)=0,"",IF($A16="","ID missing",IF(TRIM($F16)="Exclude","Excluded by plan status",IF(AND(TRIM($F16)&lt;&gt;"",TRIM($F16)&lt;&gt;"Include"),"Plan status not valid (use Include or Exclude)",IF(NOT(ISNUMBER($C16)),"Hire date missing or not a date",IF($C16&gt;Cutoff,"Hired after cutoff",IF(NOT(ISNUMBER($E16)),"Salary missing or not a number",IF($E16&lt;=0,"Salary missing or not a number",IF(OR(NOT(ISNUMBER(I16)),NOT(ISNUMBER(J16)),NOT(ISNUMBER(K16))),"Grade not found in Ranges",IF($D16="","Rating missing",IF($D16="NR","Not rated (NR)",IF(NOT(ISNUMBER(MATCH($D16,Matrix!$A$14:$A$18,0))),"Rating not valid (use 1 to 5 or NR)",IF(NOT(ISNUMBER(O16)),"Band not found (check range and limits)","")))))))))))))</f>
        <v/>
      </c>
      <c r="R16" s="47" t="n">
        <f aca="false">IF($P16="Y",INDEX(Matrix!$C$14:$G$18,MATCH($D16,Matrix!$A$14:$A$18,0),$O16),IF($P16="N",0,""))</f>
        <v>0.02</v>
      </c>
      <c r="S16" s="47" t="n">
        <f aca="false">IF($P16="Y",IF(AND(ISNUMBER($G16),$G16&gt;=0,$G16&lt;=1),$G16,$R16),IF($P16="N",0,""))</f>
        <v>0.02</v>
      </c>
      <c r="T16" s="48" t="n">
        <f aca="false">IF($P16&lt;&gt;"Y",IF($P16="N",0,""),IF(ProrateMethod="None",1,IF($C16&lt;=PeriodStart,1,IF(ProrateMethod="Daily",MAX(0,MIN(1,(PeriodEnd-$C16+1)/(PeriodEnd-PeriodStart+1))),MAX(0,MIN(1,((YEAR(PeriodEnd)-YEAR($C16))*12+MONTH(PeriodEnd)-MONTH($C16)+1-IF(DAY($C16)&gt;MonthCutDay,1,0))/PeriodMonths))))))</f>
        <v>1</v>
      </c>
      <c r="U16" s="47" t="n">
        <f aca="false">IF($P16="","",$S16*$T16)</f>
        <v>0.02</v>
      </c>
      <c r="V16" s="49" t="n">
        <f aca="false">IF($P16="","",IF(ISNUMBER($E16),$E16,0)*$R16)</f>
        <v>1810</v>
      </c>
      <c r="W16" s="49" t="n">
        <f aca="false">IF($P16="","",IF(ISNUMBER($E16),$E16,0)*$S16)</f>
        <v>1810</v>
      </c>
      <c r="X16" s="49" t="n">
        <f aca="false">IF($P16="","",IF(ISNUMBER($E16),$E16,0)*$U16)</f>
        <v>1810</v>
      </c>
      <c r="Y16" s="49" t="n">
        <f aca="false">IF($P16="","",IF(AND(CapAtMax="Yes",$P16="Y"),MAX(0,MIN($X16,$K16-$E16)),$X16))</f>
        <v>1810</v>
      </c>
      <c r="Z16" s="41" t="n">
        <f aca="false">IF(OR($P16="",NOT(ISNUMBER($E16))),"",$E16+$Y16)</f>
        <v>92310</v>
      </c>
      <c r="AA16" s="42" t="n">
        <f aca="false">IF(AND(ISNUMBER(Z16),ISNUMBER(J16)),IF(J16&gt;0,Z16/J16,""),"")</f>
        <v>1.19109677419355</v>
      </c>
      <c r="AB16" s="46" t="str">
        <f aca="false">IF($P16="","",TRIM(IF(AND($P16="Y",ISNUMBER(K16),ISNUMBER(Z16)),IF(Z16&gt;K16,"Above range max. ",""),"")&amp;IF(AND($P16="Y",ISNUMBER($X16),ISNUMBER($Y16)),IF($X16-$Y16&gt;0.005,"Capped at range max. ",""),"")&amp;IF(AND(AND(ISNUMBER($G16),$G16&gt;=0,$G16&lt;=1),$H16=""),"Override needs a reason. ","")&amp;IF(AND(AND(ISNUMBER($G16),$G16&gt;=0,$G16&lt;=1),$P16&lt;&gt;"Y"),"Override ignored. ","")&amp;IF(AND($G16&lt;&gt;"",NOT(AND(ISNUMBER($G16),$G16&gt;=0,$G16&lt;=1))),"Override not valid, ignored. ","")&amp;IF(AND($A16&lt;&gt;"",COUNTIF($A$5:$A$254,$A16)&gt;1),"Duplicate ID. ","")))</f>
        <v/>
      </c>
    </row>
    <row r="17" customFormat="false" ht="15" hidden="false" customHeight="false" outlineLevel="0" collapsed="false">
      <c r="A17" s="18" t="s">
        <v>145</v>
      </c>
      <c r="B17" s="38" t="s">
        <v>79</v>
      </c>
      <c r="C17" s="39" t="n">
        <v>44837</v>
      </c>
      <c r="D17" s="38" t="n">
        <v>1</v>
      </c>
      <c r="E17" s="19" t="n">
        <v>76000</v>
      </c>
      <c r="F17" s="38"/>
      <c r="G17" s="40"/>
      <c r="H17" s="18"/>
      <c r="I17" s="41" t="n">
        <f aca="false">IF(COUNTA($A17:$F17)=0,"",IF($B17="","",IFERROR(INDEX(Ranges!$B$5:$B$16,MATCH($B17,Ranges!$A$5:$A$16,0)),"")))</f>
        <v>62000</v>
      </c>
      <c r="J17" s="41" t="n">
        <f aca="false">IF(COUNTA($A17:$F17)=0,"",IF($B17="","",IFERROR(INDEX(Ranges!$C$5:$C$16,MATCH($B17,Ranges!$A$5:$A$16,0)),"")))</f>
        <v>77500</v>
      </c>
      <c r="K17" s="41" t="n">
        <f aca="false">IF(COUNTA($A17:$F17)=0,"",IF($B17="","",IFERROR(INDEX(Ranges!$D$5:$D$16,MATCH($B17,Ranges!$A$5:$A$16,0)),"")))</f>
        <v>93000</v>
      </c>
      <c r="L17" s="42" t="n">
        <f aca="false">IF(OR(NOT(ISNUMBER($E17)),NOT(ISNUMBER(J17))),"",IF(J17&gt;0,$E17/J17,""))</f>
        <v>0.980645161290323</v>
      </c>
      <c r="M17" s="43" t="n">
        <f aca="false">IF(OR(NOT(ISNUMBER($E17)),NOT(ISNUMBER(I17)),NOT(ISNUMBER(K17))),"",IF(K17&gt;I17,($E17-I17)/(K17-I17),""))</f>
        <v>0.451612903225806</v>
      </c>
      <c r="N17" s="42" t="n">
        <f aca="false">IF(Basis="Compa-ratio",L17,M17)</f>
        <v>0.980645161290323</v>
      </c>
      <c r="O17" s="44" t="n">
        <f aca="false">IF(ISNUMBER(N17),IFERROR(MATCH(N17,Matrix!$C$9:$G$9,1),1),"")</f>
        <v>3</v>
      </c>
      <c r="P17" s="45" t="str">
        <f aca="false">IF(COUNTA($A17:$F17)=0,"",IF(Q17="","Y","N"))</f>
        <v>Y</v>
      </c>
      <c r="Q17" s="46" t="str">
        <f aca="false">IF(COUNTA($A17:$F17)=0,"",IF($A17="","ID missing",IF(TRIM($F17)="Exclude","Excluded by plan status",IF(AND(TRIM($F17)&lt;&gt;"",TRIM($F17)&lt;&gt;"Include"),"Plan status not valid (use Include or Exclude)",IF(NOT(ISNUMBER($C17)),"Hire date missing or not a date",IF($C17&gt;Cutoff,"Hired after cutoff",IF(NOT(ISNUMBER($E17)),"Salary missing or not a number",IF($E17&lt;=0,"Salary missing or not a number",IF(OR(NOT(ISNUMBER(I17)),NOT(ISNUMBER(J17)),NOT(ISNUMBER(K17))),"Grade not found in Ranges",IF($D17="","Rating missing",IF($D17="NR","Not rated (NR)",IF(NOT(ISNUMBER(MATCH($D17,Matrix!$A$14:$A$18,0))),"Rating not valid (use 1 to 5 or NR)",IF(NOT(ISNUMBER(O17)),"Band not found (check range and limits)","")))))))))))))</f>
        <v/>
      </c>
      <c r="R17" s="47" t="n">
        <f aca="false">IF($P17="Y",INDEX(Matrix!$C$14:$G$18,MATCH($D17,Matrix!$A$14:$A$18,0),$O17),IF($P17="N",0,""))</f>
        <v>0</v>
      </c>
      <c r="S17" s="47" t="n">
        <f aca="false">IF($P17="Y",IF(AND(ISNUMBER($G17),$G17&gt;=0,$G17&lt;=1),$G17,$R17),IF($P17="N",0,""))</f>
        <v>0</v>
      </c>
      <c r="T17" s="48" t="n">
        <f aca="false">IF($P17&lt;&gt;"Y",IF($P17="N",0,""),IF(ProrateMethod="None",1,IF($C17&lt;=PeriodStart,1,IF(ProrateMethod="Daily",MAX(0,MIN(1,(PeriodEnd-$C17+1)/(PeriodEnd-PeriodStart+1))),MAX(0,MIN(1,((YEAR(PeriodEnd)-YEAR($C17))*12+MONTH(PeriodEnd)-MONTH($C17)+1-IF(DAY($C17)&gt;MonthCutDay,1,0))/PeriodMonths))))))</f>
        <v>1</v>
      </c>
      <c r="U17" s="47" t="n">
        <f aca="false">IF($P17="","",$S17*$T17)</f>
        <v>0</v>
      </c>
      <c r="V17" s="49" t="n">
        <f aca="false">IF($P17="","",IF(ISNUMBER($E17),$E17,0)*$R17)</f>
        <v>0</v>
      </c>
      <c r="W17" s="49" t="n">
        <f aca="false">IF($P17="","",IF(ISNUMBER($E17),$E17,0)*$S17)</f>
        <v>0</v>
      </c>
      <c r="X17" s="49" t="n">
        <f aca="false">IF($P17="","",IF(ISNUMBER($E17),$E17,0)*$U17)</f>
        <v>0</v>
      </c>
      <c r="Y17" s="49" t="n">
        <f aca="false">IF($P17="","",IF(AND(CapAtMax="Yes",$P17="Y"),MAX(0,MIN($X17,$K17-$E17)),$X17))</f>
        <v>0</v>
      </c>
      <c r="Z17" s="41" t="n">
        <f aca="false">IF(OR($P17="",NOT(ISNUMBER($E17))),"",$E17+$Y17)</f>
        <v>76000</v>
      </c>
      <c r="AA17" s="42" t="n">
        <f aca="false">IF(AND(ISNUMBER(Z17),ISNUMBER(J17)),IF(J17&gt;0,Z17/J17,""),"")</f>
        <v>0.980645161290323</v>
      </c>
      <c r="AB17" s="46" t="str">
        <f aca="false">IF($P17="","",TRIM(IF(AND($P17="Y",ISNUMBER(K17),ISNUMBER(Z17)),IF(Z17&gt;K17,"Above range max. ",""),"")&amp;IF(AND($P17="Y",ISNUMBER($X17),ISNUMBER($Y17)),IF($X17-$Y17&gt;0.005,"Capped at range max. ",""),"")&amp;IF(AND(AND(ISNUMBER($G17),$G17&gt;=0,$G17&lt;=1),$H17=""),"Override needs a reason. ","")&amp;IF(AND(AND(ISNUMBER($G17),$G17&gt;=0,$G17&lt;=1),$P17&lt;&gt;"Y"),"Override ignored. ","")&amp;IF(AND($G17&lt;&gt;"",NOT(AND(ISNUMBER($G17),$G17&gt;=0,$G17&lt;=1))),"Override not valid, ignored. ","")&amp;IF(AND($A17&lt;&gt;"",COUNTIF($A$5:$A$254,$A17)&gt;1),"Duplicate ID. ","")))</f>
        <v/>
      </c>
    </row>
    <row r="18" customFormat="false" ht="15" hidden="false" customHeight="false" outlineLevel="0" collapsed="false">
      <c r="A18" s="18" t="s">
        <v>146</v>
      </c>
      <c r="B18" s="38" t="s">
        <v>79</v>
      </c>
      <c r="C18" s="39" t="n">
        <v>46310</v>
      </c>
      <c r="D18" s="38" t="n">
        <v>3</v>
      </c>
      <c r="E18" s="19" t="n">
        <v>79000</v>
      </c>
      <c r="F18" s="38"/>
      <c r="G18" s="40"/>
      <c r="H18" s="18"/>
      <c r="I18" s="41" t="n">
        <f aca="false">IF(COUNTA($A18:$F18)=0,"",IF($B18="","",IFERROR(INDEX(Ranges!$B$5:$B$16,MATCH($B18,Ranges!$A$5:$A$16,0)),"")))</f>
        <v>62000</v>
      </c>
      <c r="J18" s="41" t="n">
        <f aca="false">IF(COUNTA($A18:$F18)=0,"",IF($B18="","",IFERROR(INDEX(Ranges!$C$5:$C$16,MATCH($B18,Ranges!$A$5:$A$16,0)),"")))</f>
        <v>77500</v>
      </c>
      <c r="K18" s="41" t="n">
        <f aca="false">IF(COUNTA($A18:$F18)=0,"",IF($B18="","",IFERROR(INDEX(Ranges!$D$5:$D$16,MATCH($B18,Ranges!$A$5:$A$16,0)),"")))</f>
        <v>93000</v>
      </c>
      <c r="L18" s="42" t="n">
        <f aca="false">IF(OR(NOT(ISNUMBER($E18)),NOT(ISNUMBER(J18))),"",IF(J18&gt;0,$E18/J18,""))</f>
        <v>1.01935483870968</v>
      </c>
      <c r="M18" s="43" t="n">
        <f aca="false">IF(OR(NOT(ISNUMBER($E18)),NOT(ISNUMBER(I18)),NOT(ISNUMBER(K18))),"",IF(K18&gt;I18,($E18-I18)/(K18-I18),""))</f>
        <v>0.548387096774194</v>
      </c>
      <c r="N18" s="42" t="n">
        <f aca="false">IF(Basis="Compa-ratio",L18,M18)</f>
        <v>1.01935483870968</v>
      </c>
      <c r="O18" s="44" t="n">
        <f aca="false">IF(ISNUMBER(N18),IFERROR(MATCH(N18,Matrix!$C$9:$G$9,1),1),"")</f>
        <v>3</v>
      </c>
      <c r="P18" s="45" t="str">
        <f aca="false">IF(COUNTA($A18:$F18)=0,"",IF(Q18="","Y","N"))</f>
        <v>N</v>
      </c>
      <c r="Q18" s="46" t="str">
        <f aca="false">IF(COUNTA($A18:$F18)=0,"",IF($A18="","ID missing",IF(TRIM($F18)="Exclude","Excluded by plan status",IF(AND(TRIM($F18)&lt;&gt;"",TRIM($F18)&lt;&gt;"Include"),"Plan status not valid (use Include or Exclude)",IF(NOT(ISNUMBER($C18)),"Hire date missing or not a date",IF($C18&gt;Cutoff,"Hired after cutoff",IF(NOT(ISNUMBER($E18)),"Salary missing or not a number",IF($E18&lt;=0,"Salary missing or not a number",IF(OR(NOT(ISNUMBER(I18)),NOT(ISNUMBER(J18)),NOT(ISNUMBER(K18))),"Grade not found in Ranges",IF($D18="","Rating missing",IF($D18="NR","Not rated (NR)",IF(NOT(ISNUMBER(MATCH($D18,Matrix!$A$14:$A$18,0))),"Rating not valid (use 1 to 5 or NR)",IF(NOT(ISNUMBER(O18)),"Band not found (check range and limits)","")))))))))))))</f>
        <v>Hired after cutoff</v>
      </c>
      <c r="R18" s="47" t="n">
        <f aca="false">IF($P18="Y",INDEX(Matrix!$C$14:$G$18,MATCH($D18,Matrix!$A$14:$A$18,0),$O18),IF($P18="N",0,""))</f>
        <v>0</v>
      </c>
      <c r="S18" s="47" t="n">
        <f aca="false">IF($P18="Y",IF(AND(ISNUMBER($G18),$G18&gt;=0,$G18&lt;=1),$G18,$R18),IF($P18="N",0,""))</f>
        <v>0</v>
      </c>
      <c r="T18" s="48" t="n">
        <f aca="false">IF($P18&lt;&gt;"Y",IF($P18="N",0,""),IF(ProrateMethod="None",1,IF($C18&lt;=PeriodStart,1,IF(ProrateMethod="Daily",MAX(0,MIN(1,(PeriodEnd-$C18+1)/(PeriodEnd-PeriodStart+1))),MAX(0,MIN(1,((YEAR(PeriodEnd)-YEAR($C18))*12+MONTH(PeriodEnd)-MONTH($C18)+1-IF(DAY($C18)&gt;MonthCutDay,1,0))/PeriodMonths))))))</f>
        <v>0</v>
      </c>
      <c r="U18" s="47" t="n">
        <f aca="false">IF($P18="","",$S18*$T18)</f>
        <v>0</v>
      </c>
      <c r="V18" s="49" t="n">
        <f aca="false">IF($P18="","",IF(ISNUMBER($E18),$E18,0)*$R18)</f>
        <v>0</v>
      </c>
      <c r="W18" s="49" t="n">
        <f aca="false">IF($P18="","",IF(ISNUMBER($E18),$E18,0)*$S18)</f>
        <v>0</v>
      </c>
      <c r="X18" s="49" t="n">
        <f aca="false">IF($P18="","",IF(ISNUMBER($E18),$E18,0)*$U18)</f>
        <v>0</v>
      </c>
      <c r="Y18" s="49" t="n">
        <f aca="false">IF($P18="","",IF(AND(CapAtMax="Yes",$P18="Y"),MAX(0,MIN($X18,$K18-$E18)),$X18))</f>
        <v>0</v>
      </c>
      <c r="Z18" s="41" t="n">
        <f aca="false">IF(OR($P18="",NOT(ISNUMBER($E18))),"",$E18+$Y18)</f>
        <v>79000</v>
      </c>
      <c r="AA18" s="42" t="n">
        <f aca="false">IF(AND(ISNUMBER(Z18),ISNUMBER(J18)),IF(J18&gt;0,Z18/J18,""),"")</f>
        <v>1.01935483870968</v>
      </c>
      <c r="AB18" s="46" t="str">
        <f aca="false">IF($P18="","",TRIM(IF(AND($P18="Y",ISNUMBER(K18),ISNUMBER(Z18)),IF(Z18&gt;K18,"Above range max. ",""),"")&amp;IF(AND($P18="Y",ISNUMBER($X18),ISNUMBER($Y18)),IF($X18-$Y18&gt;0.005,"Capped at range max. ",""),"")&amp;IF(AND(AND(ISNUMBER($G18),$G18&gt;=0,$G18&lt;=1),$H18=""),"Override needs a reason. ","")&amp;IF(AND(AND(ISNUMBER($G18),$G18&gt;=0,$G18&lt;=1),$P18&lt;&gt;"Y"),"Override ignored. ","")&amp;IF(AND($G18&lt;&gt;"",NOT(AND(ISNUMBER($G18),$G18&gt;=0,$G18&lt;=1))),"Override not valid, ignored. ","")&amp;IF(AND($A18&lt;&gt;"",COUNTIF($A$5:$A$254,$A18)&gt;1),"Duplicate ID. ","")))</f>
        <v/>
      </c>
    </row>
    <row r="19" customFormat="false" ht="15" hidden="false" customHeight="false" outlineLevel="0" collapsed="false">
      <c r="A19" s="18" t="s">
        <v>147</v>
      </c>
      <c r="B19" s="38" t="s">
        <v>80</v>
      </c>
      <c r="C19" s="39" t="n">
        <v>44025</v>
      </c>
      <c r="D19" s="38" t="n">
        <v>4</v>
      </c>
      <c r="E19" s="19" t="n">
        <v>101000</v>
      </c>
      <c r="F19" s="38"/>
      <c r="G19" s="40"/>
      <c r="H19" s="18"/>
      <c r="I19" s="41" t="n">
        <f aca="false">IF(COUNTA($A19:$F19)=0,"",IF($B19="","",IFERROR(INDEX(Ranges!$B$5:$B$16,MATCH($B19,Ranges!$A$5:$A$16,0)),"")))</f>
        <v>78000</v>
      </c>
      <c r="J19" s="41" t="n">
        <f aca="false">IF(COUNTA($A19:$F19)=0,"",IF($B19="","",IFERROR(INDEX(Ranges!$C$5:$C$16,MATCH($B19,Ranges!$A$5:$A$16,0)),"")))</f>
        <v>97500</v>
      </c>
      <c r="K19" s="41" t="n">
        <f aca="false">IF(COUNTA($A19:$F19)=0,"",IF($B19="","",IFERROR(INDEX(Ranges!$D$5:$D$16,MATCH($B19,Ranges!$A$5:$A$16,0)),"")))</f>
        <v>117000</v>
      </c>
      <c r="L19" s="42" t="n">
        <f aca="false">IF(OR(NOT(ISNUMBER($E19)),NOT(ISNUMBER(J19))),"",IF(J19&gt;0,$E19/J19,""))</f>
        <v>1.03589743589744</v>
      </c>
      <c r="M19" s="43" t="n">
        <f aca="false">IF(OR(NOT(ISNUMBER($E19)),NOT(ISNUMBER(I19)),NOT(ISNUMBER(K19))),"",IF(K19&gt;I19,($E19-I19)/(K19-I19),""))</f>
        <v>0.58974358974359</v>
      </c>
      <c r="N19" s="42" t="n">
        <f aca="false">IF(Basis="Compa-ratio",L19,M19)</f>
        <v>1.03589743589744</v>
      </c>
      <c r="O19" s="44" t="n">
        <f aca="false">IF(ISNUMBER(N19),IFERROR(MATCH(N19,Matrix!$C$9:$G$9,1),1),"")</f>
        <v>3</v>
      </c>
      <c r="P19" s="45" t="str">
        <f aca="false">IF(COUNTA($A19:$F19)=0,"",IF(Q19="","Y","N"))</f>
        <v>Y</v>
      </c>
      <c r="Q19" s="46" t="str">
        <f aca="false">IF(COUNTA($A19:$F19)=0,"",IF($A19="","ID missing",IF(TRIM($F19)="Exclude","Excluded by plan status",IF(AND(TRIM($F19)&lt;&gt;"",TRIM($F19)&lt;&gt;"Include"),"Plan status not valid (use Include or Exclude)",IF(NOT(ISNUMBER($C19)),"Hire date missing or not a date",IF($C19&gt;Cutoff,"Hired after cutoff",IF(NOT(ISNUMBER($E19)),"Salary missing or not a number",IF($E19&lt;=0,"Salary missing or not a number",IF(OR(NOT(ISNUMBER(I19)),NOT(ISNUMBER(J19)),NOT(ISNUMBER(K19))),"Grade not found in Ranges",IF($D19="","Rating missing",IF($D19="NR","Not rated (NR)",IF(NOT(ISNUMBER(MATCH($D19,Matrix!$A$14:$A$18,0))),"Rating not valid (use 1 to 5 or NR)",IF(NOT(ISNUMBER(O19)),"Band not found (check range and limits)","")))))))))))))</f>
        <v/>
      </c>
      <c r="R19" s="47" t="n">
        <f aca="false">IF($P19="Y",INDEX(Matrix!$C$14:$G$18,MATCH($D19,Matrix!$A$14:$A$18,0),$O19),IF($P19="N",0,""))</f>
        <v>0.04</v>
      </c>
      <c r="S19" s="47" t="n">
        <f aca="false">IF($P19="Y",IF(AND(ISNUMBER($G19),$G19&gt;=0,$G19&lt;=1),$G19,$R19),IF($P19="N",0,""))</f>
        <v>0.04</v>
      </c>
      <c r="T19" s="48" t="n">
        <f aca="false">IF($P19&lt;&gt;"Y",IF($P19="N",0,""),IF(ProrateMethod="None",1,IF($C19&lt;=PeriodStart,1,IF(ProrateMethod="Daily",MAX(0,MIN(1,(PeriodEnd-$C19+1)/(PeriodEnd-PeriodStart+1))),MAX(0,MIN(1,((YEAR(PeriodEnd)-YEAR($C19))*12+MONTH(PeriodEnd)-MONTH($C19)+1-IF(DAY($C19)&gt;MonthCutDay,1,0))/PeriodMonths))))))</f>
        <v>1</v>
      </c>
      <c r="U19" s="47" t="n">
        <f aca="false">IF($P19="","",$S19*$T19)</f>
        <v>0.04</v>
      </c>
      <c r="V19" s="49" t="n">
        <f aca="false">IF($P19="","",IF(ISNUMBER($E19),$E19,0)*$R19)</f>
        <v>4040</v>
      </c>
      <c r="W19" s="49" t="n">
        <f aca="false">IF($P19="","",IF(ISNUMBER($E19),$E19,0)*$S19)</f>
        <v>4040</v>
      </c>
      <c r="X19" s="49" t="n">
        <f aca="false">IF($P19="","",IF(ISNUMBER($E19),$E19,0)*$U19)</f>
        <v>4040</v>
      </c>
      <c r="Y19" s="49" t="n">
        <f aca="false">IF($P19="","",IF(AND(CapAtMax="Yes",$P19="Y"),MAX(0,MIN($X19,$K19-$E19)),$X19))</f>
        <v>4040</v>
      </c>
      <c r="Z19" s="41" t="n">
        <f aca="false">IF(OR($P19="",NOT(ISNUMBER($E19))),"",$E19+$Y19)</f>
        <v>105040</v>
      </c>
      <c r="AA19" s="42" t="n">
        <f aca="false">IF(AND(ISNUMBER(Z19),ISNUMBER(J19)),IF(J19&gt;0,Z19/J19,""),"")</f>
        <v>1.07733333333333</v>
      </c>
      <c r="AB19" s="46" t="str">
        <f aca="false">IF($P19="","",TRIM(IF(AND($P19="Y",ISNUMBER(K19),ISNUMBER(Z19)),IF(Z19&gt;K19,"Above range max. ",""),"")&amp;IF(AND($P19="Y",ISNUMBER($X19),ISNUMBER($Y19)),IF($X19-$Y19&gt;0.005,"Capped at range max. ",""),"")&amp;IF(AND(AND(ISNUMBER($G19),$G19&gt;=0,$G19&lt;=1),$H19=""),"Override needs a reason. ","")&amp;IF(AND(AND(ISNUMBER($G19),$G19&gt;=0,$G19&lt;=1),$P19&lt;&gt;"Y"),"Override ignored. ","")&amp;IF(AND($G19&lt;&gt;"",NOT(AND(ISNUMBER($G19),$G19&gt;=0,$G19&lt;=1))),"Override not valid, ignored. ","")&amp;IF(AND($A19&lt;&gt;"",COUNTIF($A$5:$A$254,$A19)&gt;1),"Duplicate ID. ","")))</f>
        <v/>
      </c>
    </row>
    <row r="20" customFormat="false" ht="15" hidden="false" customHeight="false" outlineLevel="0" collapsed="false">
      <c r="A20" s="18" t="s">
        <v>148</v>
      </c>
      <c r="B20" s="38" t="s">
        <v>80</v>
      </c>
      <c r="C20" s="39" t="n">
        <v>45565</v>
      </c>
      <c r="D20" s="38" t="n">
        <v>3</v>
      </c>
      <c r="E20" s="19" t="n">
        <v>85000</v>
      </c>
      <c r="F20" s="38"/>
      <c r="G20" s="40"/>
      <c r="H20" s="18"/>
      <c r="I20" s="41" t="n">
        <f aca="false">IF(COUNTA($A20:$F20)=0,"",IF($B20="","",IFERROR(INDEX(Ranges!$B$5:$B$16,MATCH($B20,Ranges!$A$5:$A$16,0)),"")))</f>
        <v>78000</v>
      </c>
      <c r="J20" s="41" t="n">
        <f aca="false">IF(COUNTA($A20:$F20)=0,"",IF($B20="","",IFERROR(INDEX(Ranges!$C$5:$C$16,MATCH($B20,Ranges!$A$5:$A$16,0)),"")))</f>
        <v>97500</v>
      </c>
      <c r="K20" s="41" t="n">
        <f aca="false">IF(COUNTA($A20:$F20)=0,"",IF($B20="","",IFERROR(INDEX(Ranges!$D$5:$D$16,MATCH($B20,Ranges!$A$5:$A$16,0)),"")))</f>
        <v>117000</v>
      </c>
      <c r="L20" s="42" t="n">
        <f aca="false">IF(OR(NOT(ISNUMBER($E20)),NOT(ISNUMBER(J20))),"",IF(J20&gt;0,$E20/J20,""))</f>
        <v>0.871794871794872</v>
      </c>
      <c r="M20" s="43" t="n">
        <f aca="false">IF(OR(NOT(ISNUMBER($E20)),NOT(ISNUMBER(I20)),NOT(ISNUMBER(K20))),"",IF(K20&gt;I20,($E20-I20)/(K20-I20),""))</f>
        <v>0.17948717948718</v>
      </c>
      <c r="N20" s="42" t="n">
        <f aca="false">IF(Basis="Compa-ratio",L20,M20)</f>
        <v>0.871794871794872</v>
      </c>
      <c r="O20" s="44" t="n">
        <f aca="false">IF(ISNUMBER(N20),IFERROR(MATCH(N20,Matrix!$C$9:$G$9,1),1),"")</f>
        <v>2</v>
      </c>
      <c r="P20" s="45" t="str">
        <f aca="false">IF(COUNTA($A20:$F20)=0,"",IF(Q20="","Y","N"))</f>
        <v>Y</v>
      </c>
      <c r="Q20" s="46" t="str">
        <f aca="false">IF(COUNTA($A20:$F20)=0,"",IF($A20="","ID missing",IF(TRIM($F20)="Exclude","Excluded by plan status",IF(AND(TRIM($F20)&lt;&gt;"",TRIM($F20)&lt;&gt;"Include"),"Plan status not valid (use Include or Exclude)",IF(NOT(ISNUMBER($C20)),"Hire date missing or not a date",IF($C20&gt;Cutoff,"Hired after cutoff",IF(NOT(ISNUMBER($E20)),"Salary missing or not a number",IF($E20&lt;=0,"Salary missing or not a number",IF(OR(NOT(ISNUMBER(I20)),NOT(ISNUMBER(J20)),NOT(ISNUMBER(K20))),"Grade not found in Ranges",IF($D20="","Rating missing",IF($D20="NR","Not rated (NR)",IF(NOT(ISNUMBER(MATCH($D20,Matrix!$A$14:$A$18,0))),"Rating not valid (use 1 to 5 or NR)",IF(NOT(ISNUMBER(O20)),"Band not found (check range and limits)","")))))))))))))</f>
        <v/>
      </c>
      <c r="R20" s="47" t="n">
        <f aca="false">IF($P20="Y",INDEX(Matrix!$C$14:$G$18,MATCH($D20,Matrix!$A$14:$A$18,0),$O20),IF($P20="N",0,""))</f>
        <v>0.035</v>
      </c>
      <c r="S20" s="47" t="n">
        <f aca="false">IF($P20="Y",IF(AND(ISNUMBER($G20),$G20&gt;=0,$G20&lt;=1),$G20,$R20),IF($P20="N",0,""))</f>
        <v>0.035</v>
      </c>
      <c r="T20" s="48" t="n">
        <f aca="false">IF($P20&lt;&gt;"Y",IF($P20="N",0,""),IF(ProrateMethod="None",1,IF($C20&lt;=PeriodStart,1,IF(ProrateMethod="Daily",MAX(0,MIN(1,(PeriodEnd-$C20+1)/(PeriodEnd-PeriodStart+1))),MAX(0,MIN(1,((YEAR(PeriodEnd)-YEAR($C20))*12+MONTH(PeriodEnd)-MONTH($C20)+1-IF(DAY($C20)&gt;MonthCutDay,1,0))/PeriodMonths))))))</f>
        <v>1</v>
      </c>
      <c r="U20" s="47" t="n">
        <f aca="false">IF($P20="","",$S20*$T20)</f>
        <v>0.035</v>
      </c>
      <c r="V20" s="49" t="n">
        <f aca="false">IF($P20="","",IF(ISNUMBER($E20),$E20,0)*$R20)</f>
        <v>2975</v>
      </c>
      <c r="W20" s="49" t="n">
        <f aca="false">IF($P20="","",IF(ISNUMBER($E20),$E20,0)*$S20)</f>
        <v>2975</v>
      </c>
      <c r="X20" s="49" t="n">
        <f aca="false">IF($P20="","",IF(ISNUMBER($E20),$E20,0)*$U20)</f>
        <v>2975</v>
      </c>
      <c r="Y20" s="49" t="n">
        <f aca="false">IF($P20="","",IF(AND(CapAtMax="Yes",$P20="Y"),MAX(0,MIN($X20,$K20-$E20)),$X20))</f>
        <v>2975</v>
      </c>
      <c r="Z20" s="41" t="n">
        <f aca="false">IF(OR($P20="",NOT(ISNUMBER($E20))),"",$E20+$Y20)</f>
        <v>87975</v>
      </c>
      <c r="AA20" s="42" t="n">
        <f aca="false">IF(AND(ISNUMBER(Z20),ISNUMBER(J20)),IF(J20&gt;0,Z20/J20,""),"")</f>
        <v>0.902307692307692</v>
      </c>
      <c r="AB20" s="46" t="str">
        <f aca="false">IF($P20="","",TRIM(IF(AND($P20="Y",ISNUMBER(K20),ISNUMBER(Z20)),IF(Z20&gt;K20,"Above range max. ",""),"")&amp;IF(AND($P20="Y",ISNUMBER($X20),ISNUMBER($Y20)),IF($X20-$Y20&gt;0.005,"Capped at range max. ",""),"")&amp;IF(AND(AND(ISNUMBER($G20),$G20&gt;=0,$G20&lt;=1),$H20=""),"Override needs a reason. ","")&amp;IF(AND(AND(ISNUMBER($G20),$G20&gt;=0,$G20&lt;=1),$P20&lt;&gt;"Y"),"Override ignored. ","")&amp;IF(AND($G20&lt;&gt;"",NOT(AND(ISNUMBER($G20),$G20&gt;=0,$G20&lt;=1))),"Override not valid, ignored. ","")&amp;IF(AND($A20&lt;&gt;"",COUNTIF($A$5:$A$254,$A20)&gt;1),"Duplicate ID. ","")))</f>
        <v/>
      </c>
    </row>
    <row r="21" customFormat="false" ht="15" hidden="false" customHeight="false" outlineLevel="0" collapsed="false">
      <c r="A21" s="18" t="s">
        <v>149</v>
      </c>
      <c r="B21" s="38" t="s">
        <v>80</v>
      </c>
      <c r="C21" s="39" t="n">
        <v>42793</v>
      </c>
      <c r="D21" s="38" t="n">
        <v>3</v>
      </c>
      <c r="E21" s="19" t="n">
        <v>116000</v>
      </c>
      <c r="F21" s="38"/>
      <c r="G21" s="40"/>
      <c r="H21" s="18"/>
      <c r="I21" s="41" t="n">
        <f aca="false">IF(COUNTA($A21:$F21)=0,"",IF($B21="","",IFERROR(INDEX(Ranges!$B$5:$B$16,MATCH($B21,Ranges!$A$5:$A$16,0)),"")))</f>
        <v>78000</v>
      </c>
      <c r="J21" s="41" t="n">
        <f aca="false">IF(COUNTA($A21:$F21)=0,"",IF($B21="","",IFERROR(INDEX(Ranges!$C$5:$C$16,MATCH($B21,Ranges!$A$5:$A$16,0)),"")))</f>
        <v>97500</v>
      </c>
      <c r="K21" s="41" t="n">
        <f aca="false">IF(COUNTA($A21:$F21)=0,"",IF($B21="","",IFERROR(INDEX(Ranges!$D$5:$D$16,MATCH($B21,Ranges!$A$5:$A$16,0)),"")))</f>
        <v>117000</v>
      </c>
      <c r="L21" s="42" t="n">
        <f aca="false">IF(OR(NOT(ISNUMBER($E21)),NOT(ISNUMBER(J21))),"",IF(J21&gt;0,$E21/J21,""))</f>
        <v>1.18974358974359</v>
      </c>
      <c r="M21" s="43" t="n">
        <f aca="false">IF(OR(NOT(ISNUMBER($E21)),NOT(ISNUMBER(I21)),NOT(ISNUMBER(K21))),"",IF(K21&gt;I21,($E21-I21)/(K21-I21),""))</f>
        <v>0.974358974358974</v>
      </c>
      <c r="N21" s="42" t="n">
        <f aca="false">IF(Basis="Compa-ratio",L21,M21)</f>
        <v>1.18974358974359</v>
      </c>
      <c r="O21" s="44" t="n">
        <f aca="false">IF(ISNUMBER(N21),IFERROR(MATCH(N21,Matrix!$C$9:$G$9,1),1),"")</f>
        <v>5</v>
      </c>
      <c r="P21" s="45" t="str">
        <f aca="false">IF(COUNTA($A21:$F21)=0,"",IF(Q21="","Y","N"))</f>
        <v>Y</v>
      </c>
      <c r="Q21" s="46" t="str">
        <f aca="false">IF(COUNTA($A21:$F21)=0,"",IF($A21="","ID missing",IF(TRIM($F21)="Exclude","Excluded by plan status",IF(AND(TRIM($F21)&lt;&gt;"",TRIM($F21)&lt;&gt;"Include"),"Plan status not valid (use Include or Exclude)",IF(NOT(ISNUMBER($C21)),"Hire date missing or not a date",IF($C21&gt;Cutoff,"Hired after cutoff",IF(NOT(ISNUMBER($E21)),"Salary missing or not a number",IF($E21&lt;=0,"Salary missing or not a number",IF(OR(NOT(ISNUMBER(I21)),NOT(ISNUMBER(J21)),NOT(ISNUMBER(K21))),"Grade not found in Ranges",IF($D21="","Rating missing",IF($D21="NR","Not rated (NR)",IF(NOT(ISNUMBER(MATCH($D21,Matrix!$A$14:$A$18,0))),"Rating not valid (use 1 to 5 or NR)",IF(NOT(ISNUMBER(O21)),"Band not found (check range and limits)","")))))))))))))</f>
        <v/>
      </c>
      <c r="R21" s="47" t="n">
        <f aca="false">IF($P21="Y",INDEX(Matrix!$C$14:$G$18,MATCH($D21,Matrix!$A$14:$A$18,0),$O21),IF($P21="N",0,""))</f>
        <v>0.01</v>
      </c>
      <c r="S21" s="47" t="n">
        <f aca="false">IF($P21="Y",IF(AND(ISNUMBER($G21),$G21&gt;=0,$G21&lt;=1),$G21,$R21),IF($P21="N",0,""))</f>
        <v>0.01</v>
      </c>
      <c r="T21" s="48" t="n">
        <f aca="false">IF($P21&lt;&gt;"Y",IF($P21="N",0,""),IF(ProrateMethod="None",1,IF($C21&lt;=PeriodStart,1,IF(ProrateMethod="Daily",MAX(0,MIN(1,(PeriodEnd-$C21+1)/(PeriodEnd-PeriodStart+1))),MAX(0,MIN(1,((YEAR(PeriodEnd)-YEAR($C21))*12+MONTH(PeriodEnd)-MONTH($C21)+1-IF(DAY($C21)&gt;MonthCutDay,1,0))/PeriodMonths))))))</f>
        <v>1</v>
      </c>
      <c r="U21" s="47" t="n">
        <f aca="false">IF($P21="","",$S21*$T21)</f>
        <v>0.01</v>
      </c>
      <c r="V21" s="49" t="n">
        <f aca="false">IF($P21="","",IF(ISNUMBER($E21),$E21,0)*$R21)</f>
        <v>1160</v>
      </c>
      <c r="W21" s="49" t="n">
        <f aca="false">IF($P21="","",IF(ISNUMBER($E21),$E21,0)*$S21)</f>
        <v>1160</v>
      </c>
      <c r="X21" s="49" t="n">
        <f aca="false">IF($P21="","",IF(ISNUMBER($E21),$E21,0)*$U21)</f>
        <v>1160</v>
      </c>
      <c r="Y21" s="49" t="n">
        <f aca="false">IF($P21="","",IF(AND(CapAtMax="Yes",$P21="Y"),MAX(0,MIN($X21,$K21-$E21)),$X21))</f>
        <v>1000</v>
      </c>
      <c r="Z21" s="41" t="n">
        <f aca="false">IF(OR($P21="",NOT(ISNUMBER($E21))),"",$E21+$Y21)</f>
        <v>117000</v>
      </c>
      <c r="AA21" s="42" t="n">
        <f aca="false">IF(AND(ISNUMBER(Z21),ISNUMBER(J21)),IF(J21&gt;0,Z21/J21,""),"")</f>
        <v>1.2</v>
      </c>
      <c r="AB21" s="46" t="str">
        <f aca="false">IF($P21="","",TRIM(IF(AND($P21="Y",ISNUMBER(K21),ISNUMBER(Z21)),IF(Z21&gt;K21,"Above range max. ",""),"")&amp;IF(AND($P21="Y",ISNUMBER($X21),ISNUMBER($Y21)),IF($X21-$Y21&gt;0.005,"Capped at range max. ",""),"")&amp;IF(AND(AND(ISNUMBER($G21),$G21&gt;=0,$G21&lt;=1),$H21=""),"Override needs a reason. ","")&amp;IF(AND(AND(ISNUMBER($G21),$G21&gt;=0,$G21&lt;=1),$P21&lt;&gt;"Y"),"Override ignored. ","")&amp;IF(AND($G21&lt;&gt;"",NOT(AND(ISNUMBER($G21),$G21&gt;=0,$G21&lt;=1))),"Override not valid, ignored. ","")&amp;IF(AND($A21&lt;&gt;"",COUNTIF($A$5:$A$254,$A21)&gt;1),"Duplicate ID. ","")))</f>
        <v>Capped at range max.</v>
      </c>
    </row>
    <row r="22" customFormat="false" ht="15" hidden="false" customHeight="false" outlineLevel="0" collapsed="false">
      <c r="A22" s="18" t="s">
        <v>150</v>
      </c>
      <c r="B22" s="38" t="s">
        <v>80</v>
      </c>
      <c r="C22" s="39" t="n">
        <v>44697</v>
      </c>
      <c r="D22" s="38" t="n">
        <v>5</v>
      </c>
      <c r="E22" s="19" t="n">
        <v>96000</v>
      </c>
      <c r="F22" s="38"/>
      <c r="G22" s="40" t="n">
        <v>0.06</v>
      </c>
      <c r="H22" s="18" t="s">
        <v>151</v>
      </c>
      <c r="I22" s="41" t="n">
        <f aca="false">IF(COUNTA($A22:$F22)=0,"",IF($B22="","",IFERROR(INDEX(Ranges!$B$5:$B$16,MATCH($B22,Ranges!$A$5:$A$16,0)),"")))</f>
        <v>78000</v>
      </c>
      <c r="J22" s="41" t="n">
        <f aca="false">IF(COUNTA($A22:$F22)=0,"",IF($B22="","",IFERROR(INDEX(Ranges!$C$5:$C$16,MATCH($B22,Ranges!$A$5:$A$16,0)),"")))</f>
        <v>97500</v>
      </c>
      <c r="K22" s="41" t="n">
        <f aca="false">IF(COUNTA($A22:$F22)=0,"",IF($B22="","",IFERROR(INDEX(Ranges!$D$5:$D$16,MATCH($B22,Ranges!$A$5:$A$16,0)),"")))</f>
        <v>117000</v>
      </c>
      <c r="L22" s="42" t="n">
        <f aca="false">IF(OR(NOT(ISNUMBER($E22)),NOT(ISNUMBER(J22))),"",IF(J22&gt;0,$E22/J22,""))</f>
        <v>0.984615384615385</v>
      </c>
      <c r="M22" s="43" t="n">
        <f aca="false">IF(OR(NOT(ISNUMBER($E22)),NOT(ISNUMBER(I22)),NOT(ISNUMBER(K22))),"",IF(K22&gt;I22,($E22-I22)/(K22-I22),""))</f>
        <v>0.461538461538462</v>
      </c>
      <c r="N22" s="42" t="n">
        <f aca="false">IF(Basis="Compa-ratio",L22,M22)</f>
        <v>0.984615384615385</v>
      </c>
      <c r="O22" s="44" t="n">
        <f aca="false">IF(ISNUMBER(N22),IFERROR(MATCH(N22,Matrix!$C$9:$G$9,1),1),"")</f>
        <v>3</v>
      </c>
      <c r="P22" s="45" t="str">
        <f aca="false">IF(COUNTA($A22:$F22)=0,"",IF(Q22="","Y","N"))</f>
        <v>Y</v>
      </c>
      <c r="Q22" s="46" t="str">
        <f aca="false">IF(COUNTA($A22:$F22)=0,"",IF($A22="","ID missing",IF(TRIM($F22)="Exclude","Excluded by plan status",IF(AND(TRIM($F22)&lt;&gt;"",TRIM($F22)&lt;&gt;"Include"),"Plan status not valid (use Include or Exclude)",IF(NOT(ISNUMBER($C22)),"Hire date missing or not a date",IF($C22&gt;Cutoff,"Hired after cutoff",IF(NOT(ISNUMBER($E22)),"Salary missing or not a number",IF($E22&lt;=0,"Salary missing or not a number",IF(OR(NOT(ISNUMBER(I22)),NOT(ISNUMBER(J22)),NOT(ISNUMBER(K22))),"Grade not found in Ranges",IF($D22="","Rating missing",IF($D22="NR","Not rated (NR)",IF(NOT(ISNUMBER(MATCH($D22,Matrix!$A$14:$A$18,0))),"Rating not valid (use 1 to 5 or NR)",IF(NOT(ISNUMBER(O22)),"Band not found (check range and limits)","")))))))))))))</f>
        <v/>
      </c>
      <c r="R22" s="47" t="n">
        <f aca="false">IF($P22="Y",INDEX(Matrix!$C$14:$G$18,MATCH($D22,Matrix!$A$14:$A$18,0),$O22),IF($P22="N",0,""))</f>
        <v>0.05</v>
      </c>
      <c r="S22" s="47" t="n">
        <f aca="false">IF($P22="Y",IF(AND(ISNUMBER($G22),$G22&gt;=0,$G22&lt;=1),$G22,$R22),IF($P22="N",0,""))</f>
        <v>0.06</v>
      </c>
      <c r="T22" s="48" t="n">
        <f aca="false">IF($P22&lt;&gt;"Y",IF($P22="N",0,""),IF(ProrateMethod="None",1,IF($C22&lt;=PeriodStart,1,IF(ProrateMethod="Daily",MAX(0,MIN(1,(PeriodEnd-$C22+1)/(PeriodEnd-PeriodStart+1))),MAX(0,MIN(1,((YEAR(PeriodEnd)-YEAR($C22))*12+MONTH(PeriodEnd)-MONTH($C22)+1-IF(DAY($C22)&gt;MonthCutDay,1,0))/PeriodMonths))))))</f>
        <v>1</v>
      </c>
      <c r="U22" s="47" t="n">
        <f aca="false">IF($P22="","",$S22*$T22)</f>
        <v>0.06</v>
      </c>
      <c r="V22" s="49" t="n">
        <f aca="false">IF($P22="","",IF(ISNUMBER($E22),$E22,0)*$R22)</f>
        <v>4800</v>
      </c>
      <c r="W22" s="49" t="n">
        <f aca="false">IF($P22="","",IF(ISNUMBER($E22),$E22,0)*$S22)</f>
        <v>5760</v>
      </c>
      <c r="X22" s="49" t="n">
        <f aca="false">IF($P22="","",IF(ISNUMBER($E22),$E22,0)*$U22)</f>
        <v>5760</v>
      </c>
      <c r="Y22" s="49" t="n">
        <f aca="false">IF($P22="","",IF(AND(CapAtMax="Yes",$P22="Y"),MAX(0,MIN($X22,$K22-$E22)),$X22))</f>
        <v>5760</v>
      </c>
      <c r="Z22" s="41" t="n">
        <f aca="false">IF(OR($P22="",NOT(ISNUMBER($E22))),"",$E22+$Y22)</f>
        <v>101760</v>
      </c>
      <c r="AA22" s="42" t="n">
        <f aca="false">IF(AND(ISNUMBER(Z22),ISNUMBER(J22)),IF(J22&gt;0,Z22/J22,""),"")</f>
        <v>1.04369230769231</v>
      </c>
      <c r="AB22" s="46" t="str">
        <f aca="false">IF($P22="","",TRIM(IF(AND($P22="Y",ISNUMBER(K22),ISNUMBER(Z22)),IF(Z22&gt;K22,"Above range max. ",""),"")&amp;IF(AND($P22="Y",ISNUMBER($X22),ISNUMBER($Y22)),IF($X22-$Y22&gt;0.005,"Capped at range max. ",""),"")&amp;IF(AND(AND(ISNUMBER($G22),$G22&gt;=0,$G22&lt;=1),$H22=""),"Override needs a reason. ","")&amp;IF(AND(AND(ISNUMBER($G22),$G22&gt;=0,$G22&lt;=1),$P22&lt;&gt;"Y"),"Override ignored. ","")&amp;IF(AND($G22&lt;&gt;"",NOT(AND(ISNUMBER($G22),$G22&gt;=0,$G22&lt;=1))),"Override not valid, ignored. ","")&amp;IF(AND($A22&lt;&gt;"",COUNTIF($A$5:$A$254,$A22)&gt;1),"Duplicate ID. ","")))</f>
        <v/>
      </c>
    </row>
    <row r="23" customFormat="false" ht="15" hidden="false" customHeight="false" outlineLevel="0" collapsed="false">
      <c r="A23" s="18" t="s">
        <v>152</v>
      </c>
      <c r="B23" s="38" t="s">
        <v>81</v>
      </c>
      <c r="C23" s="39" t="n">
        <v>44536</v>
      </c>
      <c r="D23" s="38" t="n">
        <v>4</v>
      </c>
      <c r="E23" s="19" t="n">
        <v>118000</v>
      </c>
      <c r="F23" s="38"/>
      <c r="G23" s="40"/>
      <c r="H23" s="18"/>
      <c r="I23" s="41" t="n">
        <f aca="false">IF(COUNTA($A23:$F23)=0,"",IF($B23="","",IFERROR(INDEX(Ranges!$B$5:$B$16,MATCH($B23,Ranges!$A$5:$A$16,0)),"")))</f>
        <v>98000</v>
      </c>
      <c r="J23" s="41" t="n">
        <f aca="false">IF(COUNTA($A23:$F23)=0,"",IF($B23="","",IFERROR(INDEX(Ranges!$C$5:$C$16,MATCH($B23,Ranges!$A$5:$A$16,0)),"")))</f>
        <v>122500</v>
      </c>
      <c r="K23" s="41" t="n">
        <f aca="false">IF(COUNTA($A23:$F23)=0,"",IF($B23="","",IFERROR(INDEX(Ranges!$D$5:$D$16,MATCH($B23,Ranges!$A$5:$A$16,0)),"")))</f>
        <v>147000</v>
      </c>
      <c r="L23" s="42" t="n">
        <f aca="false">IF(OR(NOT(ISNUMBER($E23)),NOT(ISNUMBER(J23))),"",IF(J23&gt;0,$E23/J23,""))</f>
        <v>0.963265306122449</v>
      </c>
      <c r="M23" s="43" t="n">
        <f aca="false">IF(OR(NOT(ISNUMBER($E23)),NOT(ISNUMBER(I23)),NOT(ISNUMBER(K23))),"",IF(K23&gt;I23,($E23-I23)/(K23-I23),""))</f>
        <v>0.408163265306122</v>
      </c>
      <c r="N23" s="42" t="n">
        <f aca="false">IF(Basis="Compa-ratio",L23,M23)</f>
        <v>0.963265306122449</v>
      </c>
      <c r="O23" s="44" t="n">
        <f aca="false">IF(ISNUMBER(N23),IFERROR(MATCH(N23,Matrix!$C$9:$G$9,1),1),"")</f>
        <v>3</v>
      </c>
      <c r="P23" s="45" t="str">
        <f aca="false">IF(COUNTA($A23:$F23)=0,"",IF(Q23="","Y","N"))</f>
        <v>Y</v>
      </c>
      <c r="Q23" s="46" t="str">
        <f aca="false">IF(COUNTA($A23:$F23)=0,"",IF($A23="","ID missing",IF(TRIM($F23)="Exclude","Excluded by plan status",IF(AND(TRIM($F23)&lt;&gt;"",TRIM($F23)&lt;&gt;"Include"),"Plan status not valid (use Include or Exclude)",IF(NOT(ISNUMBER($C23)),"Hire date missing or not a date",IF($C23&gt;Cutoff,"Hired after cutoff",IF(NOT(ISNUMBER($E23)),"Salary missing or not a number",IF($E23&lt;=0,"Salary missing or not a number",IF(OR(NOT(ISNUMBER(I23)),NOT(ISNUMBER(J23)),NOT(ISNUMBER(K23))),"Grade not found in Ranges",IF($D23="","Rating missing",IF($D23="NR","Not rated (NR)",IF(NOT(ISNUMBER(MATCH($D23,Matrix!$A$14:$A$18,0))),"Rating not valid (use 1 to 5 or NR)",IF(NOT(ISNUMBER(O23)),"Band not found (check range and limits)","")))))))))))))</f>
        <v/>
      </c>
      <c r="R23" s="47" t="n">
        <f aca="false">IF($P23="Y",INDEX(Matrix!$C$14:$G$18,MATCH($D23,Matrix!$A$14:$A$18,0),$O23),IF($P23="N",0,""))</f>
        <v>0.04</v>
      </c>
      <c r="S23" s="47" t="n">
        <f aca="false">IF($P23="Y",IF(AND(ISNUMBER($G23),$G23&gt;=0,$G23&lt;=1),$G23,$R23),IF($P23="N",0,""))</f>
        <v>0.04</v>
      </c>
      <c r="T23" s="48" t="n">
        <f aca="false">IF($P23&lt;&gt;"Y",IF($P23="N",0,""),IF(ProrateMethod="None",1,IF($C23&lt;=PeriodStart,1,IF(ProrateMethod="Daily",MAX(0,MIN(1,(PeriodEnd-$C23+1)/(PeriodEnd-PeriodStart+1))),MAX(0,MIN(1,((YEAR(PeriodEnd)-YEAR($C23))*12+MONTH(PeriodEnd)-MONTH($C23)+1-IF(DAY($C23)&gt;MonthCutDay,1,0))/PeriodMonths))))))</f>
        <v>1</v>
      </c>
      <c r="U23" s="47" t="n">
        <f aca="false">IF($P23="","",$S23*$T23)</f>
        <v>0.04</v>
      </c>
      <c r="V23" s="49" t="n">
        <f aca="false">IF($P23="","",IF(ISNUMBER($E23),$E23,0)*$R23)</f>
        <v>4720</v>
      </c>
      <c r="W23" s="49" t="n">
        <f aca="false">IF($P23="","",IF(ISNUMBER($E23),$E23,0)*$S23)</f>
        <v>4720</v>
      </c>
      <c r="X23" s="49" t="n">
        <f aca="false">IF($P23="","",IF(ISNUMBER($E23),$E23,0)*$U23)</f>
        <v>4720</v>
      </c>
      <c r="Y23" s="49" t="n">
        <f aca="false">IF($P23="","",IF(AND(CapAtMax="Yes",$P23="Y"),MAX(0,MIN($X23,$K23-$E23)),$X23))</f>
        <v>4720</v>
      </c>
      <c r="Z23" s="41" t="n">
        <f aca="false">IF(OR($P23="",NOT(ISNUMBER($E23))),"",$E23+$Y23)</f>
        <v>122720</v>
      </c>
      <c r="AA23" s="42" t="n">
        <f aca="false">IF(AND(ISNUMBER(Z23),ISNUMBER(J23)),IF(J23&gt;0,Z23/J23,""),"")</f>
        <v>1.00179591836735</v>
      </c>
      <c r="AB23" s="46" t="str">
        <f aca="false">IF($P23="","",TRIM(IF(AND($P23="Y",ISNUMBER(K23),ISNUMBER(Z23)),IF(Z23&gt;K23,"Above range max. ",""),"")&amp;IF(AND($P23="Y",ISNUMBER($X23),ISNUMBER($Y23)),IF($X23-$Y23&gt;0.005,"Capped at range max. ",""),"")&amp;IF(AND(AND(ISNUMBER($G23),$G23&gt;=0,$G23&lt;=1),$H23=""),"Override needs a reason. ","")&amp;IF(AND(AND(ISNUMBER($G23),$G23&gt;=0,$G23&lt;=1),$P23&lt;&gt;"Y"),"Override ignored. ","")&amp;IF(AND($G23&lt;&gt;"",NOT(AND(ISNUMBER($G23),$G23&gt;=0,$G23&lt;=1))),"Override not valid, ignored. ","")&amp;IF(AND($A23&lt;&gt;"",COUNTIF($A$5:$A$254,$A23)&gt;1),"Duplicate ID. ","")))</f>
        <v/>
      </c>
    </row>
    <row r="24" customFormat="false" ht="15" hidden="false" customHeight="false" outlineLevel="0" collapsed="false">
      <c r="A24" s="18" t="s">
        <v>153</v>
      </c>
      <c r="B24" s="38" t="s">
        <v>81</v>
      </c>
      <c r="C24" s="39" t="n">
        <v>45726</v>
      </c>
      <c r="D24" s="38" t="n">
        <v>3</v>
      </c>
      <c r="E24" s="19" t="n">
        <v>108000</v>
      </c>
      <c r="F24" s="38"/>
      <c r="G24" s="40"/>
      <c r="H24" s="18"/>
      <c r="I24" s="41" t="n">
        <f aca="false">IF(COUNTA($A24:$F24)=0,"",IF($B24="","",IFERROR(INDEX(Ranges!$B$5:$B$16,MATCH($B24,Ranges!$A$5:$A$16,0)),"")))</f>
        <v>98000</v>
      </c>
      <c r="J24" s="41" t="n">
        <f aca="false">IF(COUNTA($A24:$F24)=0,"",IF($B24="","",IFERROR(INDEX(Ranges!$C$5:$C$16,MATCH($B24,Ranges!$A$5:$A$16,0)),"")))</f>
        <v>122500</v>
      </c>
      <c r="K24" s="41" t="n">
        <f aca="false">IF(COUNTA($A24:$F24)=0,"",IF($B24="","",IFERROR(INDEX(Ranges!$D$5:$D$16,MATCH($B24,Ranges!$A$5:$A$16,0)),"")))</f>
        <v>147000</v>
      </c>
      <c r="L24" s="42" t="n">
        <f aca="false">IF(OR(NOT(ISNUMBER($E24)),NOT(ISNUMBER(J24))),"",IF(J24&gt;0,$E24/J24,""))</f>
        <v>0.881632653061225</v>
      </c>
      <c r="M24" s="43" t="n">
        <f aca="false">IF(OR(NOT(ISNUMBER($E24)),NOT(ISNUMBER(I24)),NOT(ISNUMBER(K24))),"",IF(K24&gt;I24,($E24-I24)/(K24-I24),""))</f>
        <v>0.204081632653061</v>
      </c>
      <c r="N24" s="42" t="n">
        <f aca="false">IF(Basis="Compa-ratio",L24,M24)</f>
        <v>0.881632653061225</v>
      </c>
      <c r="O24" s="44" t="n">
        <f aca="false">IF(ISNUMBER(N24),IFERROR(MATCH(N24,Matrix!$C$9:$G$9,1),1),"")</f>
        <v>2</v>
      </c>
      <c r="P24" s="45" t="str">
        <f aca="false">IF(COUNTA($A24:$F24)=0,"",IF(Q24="","Y","N"))</f>
        <v>Y</v>
      </c>
      <c r="Q24" s="46" t="str">
        <f aca="false">IF(COUNTA($A24:$F24)=0,"",IF($A24="","ID missing",IF(TRIM($F24)="Exclude","Excluded by plan status",IF(AND(TRIM($F24)&lt;&gt;"",TRIM($F24)&lt;&gt;"Include"),"Plan status not valid (use Include or Exclude)",IF(NOT(ISNUMBER($C24)),"Hire date missing or not a date",IF($C24&gt;Cutoff,"Hired after cutoff",IF(NOT(ISNUMBER($E24)),"Salary missing or not a number",IF($E24&lt;=0,"Salary missing or not a number",IF(OR(NOT(ISNUMBER(I24)),NOT(ISNUMBER(J24)),NOT(ISNUMBER(K24))),"Grade not found in Ranges",IF($D24="","Rating missing",IF($D24="NR","Not rated (NR)",IF(NOT(ISNUMBER(MATCH($D24,Matrix!$A$14:$A$18,0))),"Rating not valid (use 1 to 5 or NR)",IF(NOT(ISNUMBER(O24)),"Band not found (check range and limits)","")))))))))))))</f>
        <v/>
      </c>
      <c r="R24" s="47" t="n">
        <f aca="false">IF($P24="Y",INDEX(Matrix!$C$14:$G$18,MATCH($D24,Matrix!$A$14:$A$18,0),$O24),IF($P24="N",0,""))</f>
        <v>0.035</v>
      </c>
      <c r="S24" s="47" t="n">
        <f aca="false">IF($P24="Y",IF(AND(ISNUMBER($G24),$G24&gt;=0,$G24&lt;=1),$G24,$R24),IF($P24="N",0,""))</f>
        <v>0.035</v>
      </c>
      <c r="T24" s="48" t="n">
        <f aca="false">IF($P24&lt;&gt;"Y",IF($P24="N",0,""),IF(ProrateMethod="None",1,IF($C24&lt;=PeriodStart,1,IF(ProrateMethod="Daily",MAX(0,MIN(1,(PeriodEnd-$C24+1)/(PeriodEnd-PeriodStart+1))),MAX(0,MIN(1,((YEAR(PeriodEnd)-YEAR($C24))*12+MONTH(PeriodEnd)-MONTH($C24)+1-IF(DAY($C24)&gt;MonthCutDay,1,0))/PeriodMonths))))))</f>
        <v>1</v>
      </c>
      <c r="U24" s="47" t="n">
        <f aca="false">IF($P24="","",$S24*$T24)</f>
        <v>0.035</v>
      </c>
      <c r="V24" s="49" t="n">
        <f aca="false">IF($P24="","",IF(ISNUMBER($E24),$E24,0)*$R24)</f>
        <v>3780</v>
      </c>
      <c r="W24" s="49" t="n">
        <f aca="false">IF($P24="","",IF(ISNUMBER($E24),$E24,0)*$S24)</f>
        <v>3780</v>
      </c>
      <c r="X24" s="49" t="n">
        <f aca="false">IF($P24="","",IF(ISNUMBER($E24),$E24,0)*$U24)</f>
        <v>3780</v>
      </c>
      <c r="Y24" s="49" t="n">
        <f aca="false">IF($P24="","",IF(AND(CapAtMax="Yes",$P24="Y"),MAX(0,MIN($X24,$K24-$E24)),$X24))</f>
        <v>3780</v>
      </c>
      <c r="Z24" s="41" t="n">
        <f aca="false">IF(OR($P24="",NOT(ISNUMBER($E24))),"",$E24+$Y24)</f>
        <v>111780</v>
      </c>
      <c r="AA24" s="42" t="n">
        <f aca="false">IF(AND(ISNUMBER(Z24),ISNUMBER(J24)),IF(J24&gt;0,Z24/J24,""),"")</f>
        <v>0.912489795918367</v>
      </c>
      <c r="AB24" s="46" t="str">
        <f aca="false">IF($P24="","",TRIM(IF(AND($P24="Y",ISNUMBER(K24),ISNUMBER(Z24)),IF(Z24&gt;K24,"Above range max. ",""),"")&amp;IF(AND($P24="Y",ISNUMBER($X24),ISNUMBER($Y24)),IF($X24-$Y24&gt;0.005,"Capped at range max. ",""),"")&amp;IF(AND(AND(ISNUMBER($G24),$G24&gt;=0,$G24&lt;=1),$H24=""),"Override needs a reason. ","")&amp;IF(AND(AND(ISNUMBER($G24),$G24&gt;=0,$G24&lt;=1),$P24&lt;&gt;"Y"),"Override ignored. ","")&amp;IF(AND($G24&lt;&gt;"",NOT(AND(ISNUMBER($G24),$G24&gt;=0,$G24&lt;=1))),"Override not valid, ignored. ","")&amp;IF(AND($A24&lt;&gt;"",COUNTIF($A$5:$A$254,$A24)&gt;1),"Duplicate ID. ","")))</f>
        <v/>
      </c>
    </row>
    <row r="25" customFormat="false" ht="15" hidden="false" customHeight="false" outlineLevel="0" collapsed="false">
      <c r="A25" s="18" t="s">
        <v>154</v>
      </c>
      <c r="B25" s="38" t="s">
        <v>81</v>
      </c>
      <c r="C25" s="39" t="n">
        <v>42667</v>
      </c>
      <c r="D25" s="38" t="n">
        <v>2</v>
      </c>
      <c r="E25" s="19" t="n">
        <v>140000</v>
      </c>
      <c r="F25" s="38"/>
      <c r="G25" s="40"/>
      <c r="H25" s="18"/>
      <c r="I25" s="41" t="n">
        <f aca="false">IF(COUNTA($A25:$F25)=0,"",IF($B25="","",IFERROR(INDEX(Ranges!$B$5:$B$16,MATCH($B25,Ranges!$A$5:$A$16,0)),"")))</f>
        <v>98000</v>
      </c>
      <c r="J25" s="41" t="n">
        <f aca="false">IF(COUNTA($A25:$F25)=0,"",IF($B25="","",IFERROR(INDEX(Ranges!$C$5:$C$16,MATCH($B25,Ranges!$A$5:$A$16,0)),"")))</f>
        <v>122500</v>
      </c>
      <c r="K25" s="41" t="n">
        <f aca="false">IF(COUNTA($A25:$F25)=0,"",IF($B25="","",IFERROR(INDEX(Ranges!$D$5:$D$16,MATCH($B25,Ranges!$A$5:$A$16,0)),"")))</f>
        <v>147000</v>
      </c>
      <c r="L25" s="42" t="n">
        <f aca="false">IF(OR(NOT(ISNUMBER($E25)),NOT(ISNUMBER(J25))),"",IF(J25&gt;0,$E25/J25,""))</f>
        <v>1.14285714285714</v>
      </c>
      <c r="M25" s="43" t="n">
        <f aca="false">IF(OR(NOT(ISNUMBER($E25)),NOT(ISNUMBER(I25)),NOT(ISNUMBER(K25))),"",IF(K25&gt;I25,($E25-I25)/(K25-I25),""))</f>
        <v>0.857142857142857</v>
      </c>
      <c r="N25" s="42" t="n">
        <f aca="false">IF(Basis="Compa-ratio",L25,M25)</f>
        <v>1.14285714285714</v>
      </c>
      <c r="O25" s="44" t="n">
        <f aca="false">IF(ISNUMBER(N25),IFERROR(MATCH(N25,Matrix!$C$9:$G$9,1),1),"")</f>
        <v>4</v>
      </c>
      <c r="P25" s="45" t="str">
        <f aca="false">IF(COUNTA($A25:$F25)=0,"",IF(Q25="","Y","N"))</f>
        <v>Y</v>
      </c>
      <c r="Q25" s="46" t="str">
        <f aca="false">IF(COUNTA($A25:$F25)=0,"",IF($A25="","ID missing",IF(TRIM($F25)="Exclude","Excluded by plan status",IF(AND(TRIM($F25)&lt;&gt;"",TRIM($F25)&lt;&gt;"Include"),"Plan status not valid (use Include or Exclude)",IF(NOT(ISNUMBER($C25)),"Hire date missing or not a date",IF($C25&gt;Cutoff,"Hired after cutoff",IF(NOT(ISNUMBER($E25)),"Salary missing or not a number",IF($E25&lt;=0,"Salary missing or not a number",IF(OR(NOT(ISNUMBER(I25)),NOT(ISNUMBER(J25)),NOT(ISNUMBER(K25))),"Grade not found in Ranges",IF($D25="","Rating missing",IF($D25="NR","Not rated (NR)",IF(NOT(ISNUMBER(MATCH($D25,Matrix!$A$14:$A$18,0))),"Rating not valid (use 1 to 5 or NR)",IF(NOT(ISNUMBER(O25)),"Band not found (check range and limits)","")))))))))))))</f>
        <v/>
      </c>
      <c r="R25" s="47" t="n">
        <f aca="false">IF($P25="Y",INDEX(Matrix!$C$14:$G$18,MATCH($D25,Matrix!$A$14:$A$18,0),$O25),IF($P25="N",0,""))</f>
        <v>0</v>
      </c>
      <c r="S25" s="47" t="n">
        <f aca="false">IF($P25="Y",IF(AND(ISNUMBER($G25),$G25&gt;=0,$G25&lt;=1),$G25,$R25),IF($P25="N",0,""))</f>
        <v>0</v>
      </c>
      <c r="T25" s="48" t="n">
        <f aca="false">IF($P25&lt;&gt;"Y",IF($P25="N",0,""),IF(ProrateMethod="None",1,IF($C25&lt;=PeriodStart,1,IF(ProrateMethod="Daily",MAX(0,MIN(1,(PeriodEnd-$C25+1)/(PeriodEnd-PeriodStart+1))),MAX(0,MIN(1,((YEAR(PeriodEnd)-YEAR($C25))*12+MONTH(PeriodEnd)-MONTH($C25)+1-IF(DAY($C25)&gt;MonthCutDay,1,0))/PeriodMonths))))))</f>
        <v>1</v>
      </c>
      <c r="U25" s="47" t="n">
        <f aca="false">IF($P25="","",$S25*$T25)</f>
        <v>0</v>
      </c>
      <c r="V25" s="49" t="n">
        <f aca="false">IF($P25="","",IF(ISNUMBER($E25),$E25,0)*$R25)</f>
        <v>0</v>
      </c>
      <c r="W25" s="49" t="n">
        <f aca="false">IF($P25="","",IF(ISNUMBER($E25),$E25,0)*$S25)</f>
        <v>0</v>
      </c>
      <c r="X25" s="49" t="n">
        <f aca="false">IF($P25="","",IF(ISNUMBER($E25),$E25,0)*$U25)</f>
        <v>0</v>
      </c>
      <c r="Y25" s="49" t="n">
        <f aca="false">IF($P25="","",IF(AND(CapAtMax="Yes",$P25="Y"),MAX(0,MIN($X25,$K25-$E25)),$X25))</f>
        <v>0</v>
      </c>
      <c r="Z25" s="41" t="n">
        <f aca="false">IF(OR($P25="",NOT(ISNUMBER($E25))),"",$E25+$Y25)</f>
        <v>140000</v>
      </c>
      <c r="AA25" s="42" t="n">
        <f aca="false">IF(AND(ISNUMBER(Z25),ISNUMBER(J25)),IF(J25&gt;0,Z25/J25,""),"")</f>
        <v>1.14285714285714</v>
      </c>
      <c r="AB25" s="46" t="str">
        <f aca="false">IF($P25="","",TRIM(IF(AND($P25="Y",ISNUMBER(K25),ISNUMBER(Z25)),IF(Z25&gt;K25,"Above range max. ",""),"")&amp;IF(AND($P25="Y",ISNUMBER($X25),ISNUMBER($Y25)),IF($X25-$Y25&gt;0.005,"Capped at range max. ",""),"")&amp;IF(AND(AND(ISNUMBER($G25),$G25&gt;=0,$G25&lt;=1),$H25=""),"Override needs a reason. ","")&amp;IF(AND(AND(ISNUMBER($G25),$G25&gt;=0,$G25&lt;=1),$P25&lt;&gt;"Y"),"Override ignored. ","")&amp;IF(AND($G25&lt;&gt;"",NOT(AND(ISNUMBER($G25),$G25&gt;=0,$G25&lt;=1))),"Override not valid, ignored. ","")&amp;IF(AND($A25&lt;&gt;"",COUNTIF($A$5:$A$254,$A25)&gt;1),"Duplicate ID. ","")))</f>
        <v/>
      </c>
    </row>
    <row r="26" customFormat="false" ht="15" hidden="false" customHeight="false" outlineLevel="0" collapsed="false">
      <c r="A26" s="18" t="s">
        <v>155</v>
      </c>
      <c r="B26" s="38" t="s">
        <v>77</v>
      </c>
      <c r="C26" s="39" t="n">
        <v>45628</v>
      </c>
      <c r="D26" s="38" t="s">
        <v>156</v>
      </c>
      <c r="E26" s="19" t="n">
        <v>41000</v>
      </c>
      <c r="F26" s="38"/>
      <c r="G26" s="40"/>
      <c r="H26" s="18"/>
      <c r="I26" s="41" t="n">
        <f aca="false">IF(COUNTA($A26:$F26)=0,"",IF($B26="","",IFERROR(INDEX(Ranges!$B$5:$B$16,MATCH($B26,Ranges!$A$5:$A$16,0)),"")))</f>
        <v>40000</v>
      </c>
      <c r="J26" s="41" t="n">
        <f aca="false">IF(COUNTA($A26:$F26)=0,"",IF($B26="","",IFERROR(INDEX(Ranges!$C$5:$C$16,MATCH($B26,Ranges!$A$5:$A$16,0)),"")))</f>
        <v>50000</v>
      </c>
      <c r="K26" s="41" t="n">
        <f aca="false">IF(COUNTA($A26:$F26)=0,"",IF($B26="","",IFERROR(INDEX(Ranges!$D$5:$D$16,MATCH($B26,Ranges!$A$5:$A$16,0)),"")))</f>
        <v>60000</v>
      </c>
      <c r="L26" s="42" t="n">
        <f aca="false">IF(OR(NOT(ISNUMBER($E26)),NOT(ISNUMBER(J26))),"",IF(J26&gt;0,$E26/J26,""))</f>
        <v>0.82</v>
      </c>
      <c r="M26" s="43" t="n">
        <f aca="false">IF(OR(NOT(ISNUMBER($E26)),NOT(ISNUMBER(I26)),NOT(ISNUMBER(K26))),"",IF(K26&gt;I26,($E26-I26)/(K26-I26),""))</f>
        <v>0.05</v>
      </c>
      <c r="N26" s="42" t="n">
        <f aca="false">IF(Basis="Compa-ratio",L26,M26)</f>
        <v>0.82</v>
      </c>
      <c r="O26" s="44" t="n">
        <f aca="false">IF(ISNUMBER(N26),IFERROR(MATCH(N26,Matrix!$C$9:$G$9,1),1),"")</f>
        <v>1</v>
      </c>
      <c r="P26" s="45" t="str">
        <f aca="false">IF(COUNTA($A26:$F26)=0,"",IF(Q26="","Y","N"))</f>
        <v>N</v>
      </c>
      <c r="Q26" s="46" t="str">
        <f aca="false">IF(COUNTA($A26:$F26)=0,"",IF($A26="","ID missing",IF(TRIM($F26)="Exclude","Excluded by plan status",IF(AND(TRIM($F26)&lt;&gt;"",TRIM($F26)&lt;&gt;"Include"),"Plan status not valid (use Include or Exclude)",IF(NOT(ISNUMBER($C26)),"Hire date missing or not a date",IF($C26&gt;Cutoff,"Hired after cutoff",IF(NOT(ISNUMBER($E26)),"Salary missing or not a number",IF($E26&lt;=0,"Salary missing or not a number",IF(OR(NOT(ISNUMBER(I26)),NOT(ISNUMBER(J26)),NOT(ISNUMBER(K26))),"Grade not found in Ranges",IF($D26="","Rating missing",IF($D26="NR","Not rated (NR)",IF(NOT(ISNUMBER(MATCH($D26,Matrix!$A$14:$A$18,0))),"Rating not valid (use 1 to 5 or NR)",IF(NOT(ISNUMBER(O26)),"Band not found (check range and limits)","")))))))))))))</f>
        <v>Not rated (NR)</v>
      </c>
      <c r="R26" s="47" t="n">
        <f aca="false">IF($P26="Y",INDEX(Matrix!$C$14:$G$18,MATCH($D26,Matrix!$A$14:$A$18,0),$O26),IF($P26="N",0,""))</f>
        <v>0</v>
      </c>
      <c r="S26" s="47" t="n">
        <f aca="false">IF($P26="Y",IF(AND(ISNUMBER($G26),$G26&gt;=0,$G26&lt;=1),$G26,$R26),IF($P26="N",0,""))</f>
        <v>0</v>
      </c>
      <c r="T26" s="48" t="n">
        <f aca="false">IF($P26&lt;&gt;"Y",IF($P26="N",0,""),IF(ProrateMethod="None",1,IF($C26&lt;=PeriodStart,1,IF(ProrateMethod="Daily",MAX(0,MIN(1,(PeriodEnd-$C26+1)/(PeriodEnd-PeriodStart+1))),MAX(0,MIN(1,((YEAR(PeriodEnd)-YEAR($C26))*12+MONTH(PeriodEnd)-MONTH($C26)+1-IF(DAY($C26)&gt;MonthCutDay,1,0))/PeriodMonths))))))</f>
        <v>0</v>
      </c>
      <c r="U26" s="47" t="n">
        <f aca="false">IF($P26="","",$S26*$T26)</f>
        <v>0</v>
      </c>
      <c r="V26" s="49" t="n">
        <f aca="false">IF($P26="","",IF(ISNUMBER($E26),$E26,0)*$R26)</f>
        <v>0</v>
      </c>
      <c r="W26" s="49" t="n">
        <f aca="false">IF($P26="","",IF(ISNUMBER($E26),$E26,0)*$S26)</f>
        <v>0</v>
      </c>
      <c r="X26" s="49" t="n">
        <f aca="false">IF($P26="","",IF(ISNUMBER($E26),$E26,0)*$U26)</f>
        <v>0</v>
      </c>
      <c r="Y26" s="49" t="n">
        <f aca="false">IF($P26="","",IF(AND(CapAtMax="Yes",$P26="Y"),MAX(0,MIN($X26,$K26-$E26)),$X26))</f>
        <v>0</v>
      </c>
      <c r="Z26" s="41" t="n">
        <f aca="false">IF(OR($P26="",NOT(ISNUMBER($E26))),"",$E26+$Y26)</f>
        <v>41000</v>
      </c>
      <c r="AA26" s="42" t="n">
        <f aca="false">IF(AND(ISNUMBER(Z26),ISNUMBER(J26)),IF(J26&gt;0,Z26/J26,""),"")</f>
        <v>0.82</v>
      </c>
      <c r="AB26" s="46" t="str">
        <f aca="false">IF($P26="","",TRIM(IF(AND($P26="Y",ISNUMBER(K26),ISNUMBER(Z26)),IF(Z26&gt;K26,"Above range max. ",""),"")&amp;IF(AND($P26="Y",ISNUMBER($X26),ISNUMBER($Y26)),IF($X26-$Y26&gt;0.005,"Capped at range max. ",""),"")&amp;IF(AND(AND(ISNUMBER($G26),$G26&gt;=0,$G26&lt;=1),$H26=""),"Override needs a reason. ","")&amp;IF(AND(AND(ISNUMBER($G26),$G26&gt;=0,$G26&lt;=1),$P26&lt;&gt;"Y"),"Override ignored. ","")&amp;IF(AND($G26&lt;&gt;"",NOT(AND(ISNUMBER($G26),$G26&gt;=0,$G26&lt;=1))),"Override not valid, ignored. ","")&amp;IF(AND($A26&lt;&gt;"",COUNTIF($A$5:$A$254,$A26)&gt;1),"Duplicate ID. ","")))</f>
        <v/>
      </c>
    </row>
    <row r="27" customFormat="false" ht="15" hidden="false" customHeight="false" outlineLevel="0" collapsed="false">
      <c r="A27" s="18" t="s">
        <v>157</v>
      </c>
      <c r="B27" s="38" t="s">
        <v>78</v>
      </c>
      <c r="C27" s="39" t="n">
        <v>45005</v>
      </c>
      <c r="D27" s="38" t="n">
        <v>3</v>
      </c>
      <c r="E27" s="19" t="n">
        <v>63000</v>
      </c>
      <c r="F27" s="38" t="s">
        <v>158</v>
      </c>
      <c r="G27" s="40"/>
      <c r="H27" s="18"/>
      <c r="I27" s="41" t="n">
        <f aca="false">IF(COUNTA($A27:$F27)=0,"",IF($B27="","",IFERROR(INDEX(Ranges!$B$5:$B$16,MATCH($B27,Ranges!$A$5:$A$16,0)),"")))</f>
        <v>50000</v>
      </c>
      <c r="J27" s="41" t="n">
        <f aca="false">IF(COUNTA($A27:$F27)=0,"",IF($B27="","",IFERROR(INDEX(Ranges!$C$5:$C$16,MATCH($B27,Ranges!$A$5:$A$16,0)),"")))</f>
        <v>62500</v>
      </c>
      <c r="K27" s="41" t="n">
        <f aca="false">IF(COUNTA($A27:$F27)=0,"",IF($B27="","",IFERROR(INDEX(Ranges!$D$5:$D$16,MATCH($B27,Ranges!$A$5:$A$16,0)),"")))</f>
        <v>75000</v>
      </c>
      <c r="L27" s="42" t="n">
        <f aca="false">IF(OR(NOT(ISNUMBER($E27)),NOT(ISNUMBER(J27))),"",IF(J27&gt;0,$E27/J27,""))</f>
        <v>1.008</v>
      </c>
      <c r="M27" s="43" t="n">
        <f aca="false">IF(OR(NOT(ISNUMBER($E27)),NOT(ISNUMBER(I27)),NOT(ISNUMBER(K27))),"",IF(K27&gt;I27,($E27-I27)/(K27-I27),""))</f>
        <v>0.52</v>
      </c>
      <c r="N27" s="42" t="n">
        <f aca="false">IF(Basis="Compa-ratio",L27,M27)</f>
        <v>1.008</v>
      </c>
      <c r="O27" s="44" t="n">
        <f aca="false">IF(ISNUMBER(N27),IFERROR(MATCH(N27,Matrix!$C$9:$G$9,1),1),"")</f>
        <v>3</v>
      </c>
      <c r="P27" s="45" t="str">
        <f aca="false">IF(COUNTA($A27:$F27)=0,"",IF(Q27="","Y","N"))</f>
        <v>N</v>
      </c>
      <c r="Q27" s="46" t="str">
        <f aca="false">IF(COUNTA($A27:$F27)=0,"",IF($A27="","ID missing",IF(TRIM($F27)="Exclude","Excluded by plan status",IF(AND(TRIM($F27)&lt;&gt;"",TRIM($F27)&lt;&gt;"Include"),"Plan status not valid (use Include or Exclude)",IF(NOT(ISNUMBER($C27)),"Hire date missing or not a date",IF($C27&gt;Cutoff,"Hired after cutoff",IF(NOT(ISNUMBER($E27)),"Salary missing or not a number",IF($E27&lt;=0,"Salary missing or not a number",IF(OR(NOT(ISNUMBER(I27)),NOT(ISNUMBER(J27)),NOT(ISNUMBER(K27))),"Grade not found in Ranges",IF($D27="","Rating missing",IF($D27="NR","Not rated (NR)",IF(NOT(ISNUMBER(MATCH($D27,Matrix!$A$14:$A$18,0))),"Rating not valid (use 1 to 5 or NR)",IF(NOT(ISNUMBER(O27)),"Band not found (check range and limits)","")))))))))))))</f>
        <v>Excluded by plan status</v>
      </c>
      <c r="R27" s="47" t="n">
        <f aca="false">IF($P27="Y",INDEX(Matrix!$C$14:$G$18,MATCH($D27,Matrix!$A$14:$A$18,0),$O27),IF($P27="N",0,""))</f>
        <v>0</v>
      </c>
      <c r="S27" s="47" t="n">
        <f aca="false">IF($P27="Y",IF(AND(ISNUMBER($G27),$G27&gt;=0,$G27&lt;=1),$G27,$R27),IF($P27="N",0,""))</f>
        <v>0</v>
      </c>
      <c r="T27" s="48" t="n">
        <f aca="false">IF($P27&lt;&gt;"Y",IF($P27="N",0,""),IF(ProrateMethod="None",1,IF($C27&lt;=PeriodStart,1,IF(ProrateMethod="Daily",MAX(0,MIN(1,(PeriodEnd-$C27+1)/(PeriodEnd-PeriodStart+1))),MAX(0,MIN(1,((YEAR(PeriodEnd)-YEAR($C27))*12+MONTH(PeriodEnd)-MONTH($C27)+1-IF(DAY($C27)&gt;MonthCutDay,1,0))/PeriodMonths))))))</f>
        <v>0</v>
      </c>
      <c r="U27" s="47" t="n">
        <f aca="false">IF($P27="","",$S27*$T27)</f>
        <v>0</v>
      </c>
      <c r="V27" s="49" t="n">
        <f aca="false">IF($P27="","",IF(ISNUMBER($E27),$E27,0)*$R27)</f>
        <v>0</v>
      </c>
      <c r="W27" s="49" t="n">
        <f aca="false">IF($P27="","",IF(ISNUMBER($E27),$E27,0)*$S27)</f>
        <v>0</v>
      </c>
      <c r="X27" s="49" t="n">
        <f aca="false">IF($P27="","",IF(ISNUMBER($E27),$E27,0)*$U27)</f>
        <v>0</v>
      </c>
      <c r="Y27" s="49" t="n">
        <f aca="false">IF($P27="","",IF(AND(CapAtMax="Yes",$P27="Y"),MAX(0,MIN($X27,$K27-$E27)),$X27))</f>
        <v>0</v>
      </c>
      <c r="Z27" s="41" t="n">
        <f aca="false">IF(OR($P27="",NOT(ISNUMBER($E27))),"",$E27+$Y27)</f>
        <v>63000</v>
      </c>
      <c r="AA27" s="42" t="n">
        <f aca="false">IF(AND(ISNUMBER(Z27),ISNUMBER(J27)),IF(J27&gt;0,Z27/J27,""),"")</f>
        <v>1.008</v>
      </c>
      <c r="AB27" s="46" t="str">
        <f aca="false">IF($P27="","",TRIM(IF(AND($P27="Y",ISNUMBER(K27),ISNUMBER(Z27)),IF(Z27&gt;K27,"Above range max. ",""),"")&amp;IF(AND($P27="Y",ISNUMBER($X27),ISNUMBER($Y27)),IF($X27-$Y27&gt;0.005,"Capped at range max. ",""),"")&amp;IF(AND(AND(ISNUMBER($G27),$G27&gt;=0,$G27&lt;=1),$H27=""),"Override needs a reason. ","")&amp;IF(AND(AND(ISNUMBER($G27),$G27&gt;=0,$G27&lt;=1),$P27&lt;&gt;"Y"),"Override ignored. ","")&amp;IF(AND($G27&lt;&gt;"",NOT(AND(ISNUMBER($G27),$G27&gt;=0,$G27&lt;=1))),"Override not valid, ignored. ","")&amp;IF(AND($A27&lt;&gt;"",COUNTIF($A$5:$A$254,$A27)&gt;1),"Duplicate ID. ","")))</f>
        <v/>
      </c>
    </row>
    <row r="28" customFormat="false" ht="15" hidden="false" customHeight="false" outlineLevel="0" collapsed="false">
      <c r="A28" s="18" t="s">
        <v>159</v>
      </c>
      <c r="B28" s="38" t="s">
        <v>79</v>
      </c>
      <c r="C28" s="39" t="n">
        <v>45978</v>
      </c>
      <c r="D28" s="38" t="n">
        <v>4</v>
      </c>
      <c r="E28" s="19" t="n">
        <v>71000</v>
      </c>
      <c r="F28" s="38"/>
      <c r="G28" s="40"/>
      <c r="H28" s="18"/>
      <c r="I28" s="41" t="n">
        <f aca="false">IF(COUNTA($A28:$F28)=0,"",IF($B28="","",IFERROR(INDEX(Ranges!$B$5:$B$16,MATCH($B28,Ranges!$A$5:$A$16,0)),"")))</f>
        <v>62000</v>
      </c>
      <c r="J28" s="41" t="n">
        <f aca="false">IF(COUNTA($A28:$F28)=0,"",IF($B28="","",IFERROR(INDEX(Ranges!$C$5:$C$16,MATCH($B28,Ranges!$A$5:$A$16,0)),"")))</f>
        <v>77500</v>
      </c>
      <c r="K28" s="41" t="n">
        <f aca="false">IF(COUNTA($A28:$F28)=0,"",IF($B28="","",IFERROR(INDEX(Ranges!$D$5:$D$16,MATCH($B28,Ranges!$A$5:$A$16,0)),"")))</f>
        <v>93000</v>
      </c>
      <c r="L28" s="42" t="n">
        <f aca="false">IF(OR(NOT(ISNUMBER($E28)),NOT(ISNUMBER(J28))),"",IF(J28&gt;0,$E28/J28,""))</f>
        <v>0.916129032258065</v>
      </c>
      <c r="M28" s="43" t="n">
        <f aca="false">IF(OR(NOT(ISNUMBER($E28)),NOT(ISNUMBER(I28)),NOT(ISNUMBER(K28))),"",IF(K28&gt;I28,($E28-I28)/(K28-I28),""))</f>
        <v>0.290322580645161</v>
      </c>
      <c r="N28" s="42" t="n">
        <f aca="false">IF(Basis="Compa-ratio",L28,M28)</f>
        <v>0.916129032258065</v>
      </c>
      <c r="O28" s="44" t="n">
        <f aca="false">IF(ISNUMBER(N28),IFERROR(MATCH(N28,Matrix!$C$9:$G$9,1),1),"")</f>
        <v>2</v>
      </c>
      <c r="P28" s="45" t="str">
        <f aca="false">IF(COUNTA($A28:$F28)=0,"",IF(Q28="","Y","N"))</f>
        <v>Y</v>
      </c>
      <c r="Q28" s="46" t="str">
        <f aca="false">IF(COUNTA($A28:$F28)=0,"",IF($A28="","ID missing",IF(TRIM($F28)="Exclude","Excluded by plan status",IF(AND(TRIM($F28)&lt;&gt;"",TRIM($F28)&lt;&gt;"Include"),"Plan status not valid (use Include or Exclude)",IF(NOT(ISNUMBER($C28)),"Hire date missing or not a date",IF($C28&gt;Cutoff,"Hired after cutoff",IF(NOT(ISNUMBER($E28)),"Salary missing or not a number",IF($E28&lt;=0,"Salary missing or not a number",IF(OR(NOT(ISNUMBER(I28)),NOT(ISNUMBER(J28)),NOT(ISNUMBER(K28))),"Grade not found in Ranges",IF($D28="","Rating missing",IF($D28="NR","Not rated (NR)",IF(NOT(ISNUMBER(MATCH($D28,Matrix!$A$14:$A$18,0))),"Rating not valid (use 1 to 5 or NR)",IF(NOT(ISNUMBER(O28)),"Band not found (check range and limits)","")))))))))))))</f>
        <v/>
      </c>
      <c r="R28" s="47" t="n">
        <f aca="false">IF($P28="Y",INDEX(Matrix!$C$14:$G$18,MATCH($D28,Matrix!$A$14:$A$18,0),$O28),IF($P28="N",0,""))</f>
        <v>0.05</v>
      </c>
      <c r="S28" s="47" t="n">
        <f aca="false">IF($P28="Y",IF(AND(ISNUMBER($G28),$G28&gt;=0,$G28&lt;=1),$G28,$R28),IF($P28="N",0,""))</f>
        <v>0.05</v>
      </c>
      <c r="T28" s="48" t="n">
        <f aca="false">IF($P28&lt;&gt;"Y",IF($P28="N",0,""),IF(ProrateMethod="None",1,IF($C28&lt;=PeriodStart,1,IF(ProrateMethod="Daily",MAX(0,MIN(1,(PeriodEnd-$C28+1)/(PeriodEnd-PeriodStart+1))),MAX(0,MIN(1,((YEAR(PeriodEnd)-YEAR($C28))*12+MONTH(PeriodEnd)-MONTH($C28)+1-IF(DAY($C28)&gt;MonthCutDay,1,0))/PeriodMonths))))))</f>
        <v>1</v>
      </c>
      <c r="U28" s="47" t="n">
        <f aca="false">IF($P28="","",$S28*$T28)</f>
        <v>0.05</v>
      </c>
      <c r="V28" s="49" t="n">
        <f aca="false">IF($P28="","",IF(ISNUMBER($E28),$E28,0)*$R28)</f>
        <v>3550</v>
      </c>
      <c r="W28" s="49" t="n">
        <f aca="false">IF($P28="","",IF(ISNUMBER($E28),$E28,0)*$S28)</f>
        <v>3550</v>
      </c>
      <c r="X28" s="49" t="n">
        <f aca="false">IF($P28="","",IF(ISNUMBER($E28),$E28,0)*$U28)</f>
        <v>3550</v>
      </c>
      <c r="Y28" s="49" t="n">
        <f aca="false">IF($P28="","",IF(AND(CapAtMax="Yes",$P28="Y"),MAX(0,MIN($X28,$K28-$E28)),$X28))</f>
        <v>3550</v>
      </c>
      <c r="Z28" s="41" t="n">
        <f aca="false">IF(OR($P28="",NOT(ISNUMBER($E28))),"",$E28+$Y28)</f>
        <v>74550</v>
      </c>
      <c r="AA28" s="42" t="n">
        <f aca="false">IF(AND(ISNUMBER(Z28),ISNUMBER(J28)),IF(J28&gt;0,Z28/J28,""),"")</f>
        <v>0.961935483870968</v>
      </c>
      <c r="AB28" s="46" t="str">
        <f aca="false">IF($P28="","",TRIM(IF(AND($P28="Y",ISNUMBER(K28),ISNUMBER(Z28)),IF(Z28&gt;K28,"Above range max. ",""),"")&amp;IF(AND($P28="Y",ISNUMBER($X28),ISNUMBER($Y28)),IF($X28-$Y28&gt;0.005,"Capped at range max. ",""),"")&amp;IF(AND(AND(ISNUMBER($G28),$G28&gt;=0,$G28&lt;=1),$H28=""),"Override needs a reason. ","")&amp;IF(AND(AND(ISNUMBER($G28),$G28&gt;=0,$G28&lt;=1),$P28&lt;&gt;"Y"),"Override ignored. ","")&amp;IF(AND($G28&lt;&gt;"",NOT(AND(ISNUMBER($G28),$G28&gt;=0,$G28&lt;=1))),"Override not valid, ignored. ","")&amp;IF(AND($A28&lt;&gt;"",COUNTIF($A$5:$A$254,$A28)&gt;1),"Duplicate ID. ","")))</f>
        <v/>
      </c>
    </row>
    <row r="29" customFormat="false" ht="15" hidden="false" customHeight="false" outlineLevel="0" collapsed="false">
      <c r="A29" s="18"/>
      <c r="B29" s="38"/>
      <c r="C29" s="39"/>
      <c r="D29" s="38"/>
      <c r="E29" s="19"/>
      <c r="F29" s="38"/>
      <c r="G29" s="40"/>
      <c r="H29" s="18"/>
      <c r="I29" s="41" t="str">
        <f aca="false">IF(COUNTA($A29:$F29)=0,"",IF($B29="","",IFERROR(INDEX(Ranges!$B$5:$B$16,MATCH($B29,Ranges!$A$5:$A$16,0)),"")))</f>
        <v/>
      </c>
      <c r="J29" s="41" t="str">
        <f aca="false">IF(COUNTA($A29:$F29)=0,"",IF($B29="","",IFERROR(INDEX(Ranges!$C$5:$C$16,MATCH($B29,Ranges!$A$5:$A$16,0)),"")))</f>
        <v/>
      </c>
      <c r="K29" s="41" t="str">
        <f aca="false">IF(COUNTA($A29:$F29)=0,"",IF($B29="","",IFERROR(INDEX(Ranges!$D$5:$D$16,MATCH($B29,Ranges!$A$5:$A$16,0)),"")))</f>
        <v/>
      </c>
      <c r="L29" s="42" t="str">
        <f aca="false">IF(OR(NOT(ISNUMBER($E29)),NOT(ISNUMBER(J29))),"",IF(J29&gt;0,$E29/J29,""))</f>
        <v/>
      </c>
      <c r="M29" s="43" t="str">
        <f aca="false">IF(OR(NOT(ISNUMBER($E29)),NOT(ISNUMBER(I29)),NOT(ISNUMBER(K29))),"",IF(K29&gt;I29,($E29-I29)/(K29-I29),""))</f>
        <v/>
      </c>
      <c r="N29" s="42" t="str">
        <f aca="false">IF(Basis="Compa-ratio",L29,M29)</f>
        <v/>
      </c>
      <c r="O29" s="44" t="str">
        <f aca="false">IF(ISNUMBER(N29),IFERROR(MATCH(N29,Matrix!$C$9:$G$9,1),1),"")</f>
        <v/>
      </c>
      <c r="P29" s="45" t="str">
        <f aca="false">IF(COUNTA($A29:$F29)=0,"",IF(Q29="","Y","N"))</f>
        <v/>
      </c>
      <c r="Q29" s="46" t="str">
        <f aca="false">IF(COUNTA($A29:$F29)=0,"",IF($A29="","ID missing",IF(TRIM($F29)="Exclude","Excluded by plan status",IF(AND(TRIM($F29)&lt;&gt;"",TRIM($F29)&lt;&gt;"Include"),"Plan status not valid (use Include or Exclude)",IF(NOT(ISNUMBER($C29)),"Hire date missing or not a date",IF($C29&gt;Cutoff,"Hired after cutoff",IF(NOT(ISNUMBER($E29)),"Salary missing or not a number",IF($E29&lt;=0,"Salary missing or not a number",IF(OR(NOT(ISNUMBER(I29)),NOT(ISNUMBER(J29)),NOT(ISNUMBER(K29))),"Grade not found in Ranges",IF($D29="","Rating missing",IF($D29="NR","Not rated (NR)",IF(NOT(ISNUMBER(MATCH($D29,Matrix!$A$14:$A$18,0))),"Rating not valid (use 1 to 5 or NR)",IF(NOT(ISNUMBER(O29)),"Band not found (check range and limits)","")))))))))))))</f>
        <v/>
      </c>
      <c r="R29" s="47" t="str">
        <f aca="false">IF($P29="Y",INDEX(Matrix!$C$14:$G$18,MATCH($D29,Matrix!$A$14:$A$18,0),$O29),IF($P29="N",0,""))</f>
        <v/>
      </c>
      <c r="S29" s="47" t="str">
        <f aca="false">IF($P29="Y",IF(AND(ISNUMBER($G29),$G29&gt;=0,$G29&lt;=1),$G29,$R29),IF($P29="N",0,""))</f>
        <v/>
      </c>
      <c r="T29" s="48" t="str">
        <f aca="false">IF($P29&lt;&gt;"Y",IF($P29="N",0,""),IF(ProrateMethod="None",1,IF($C29&lt;=PeriodStart,1,IF(ProrateMethod="Daily",MAX(0,MIN(1,(PeriodEnd-$C29+1)/(PeriodEnd-PeriodStart+1))),MAX(0,MIN(1,((YEAR(PeriodEnd)-YEAR($C29))*12+MONTH(PeriodEnd)-MONTH($C29)+1-IF(DAY($C29)&gt;MonthCutDay,1,0))/PeriodMonths))))))</f>
        <v/>
      </c>
      <c r="U29" s="47" t="str">
        <f aca="false">IF($P29="","",$S29*$T29)</f>
        <v/>
      </c>
      <c r="V29" s="49" t="str">
        <f aca="false">IF($P29="","",IF(ISNUMBER($E29),$E29,0)*$R29)</f>
        <v/>
      </c>
      <c r="W29" s="49" t="str">
        <f aca="false">IF($P29="","",IF(ISNUMBER($E29),$E29,0)*$S29)</f>
        <v/>
      </c>
      <c r="X29" s="49" t="str">
        <f aca="false">IF($P29="","",IF(ISNUMBER($E29),$E29,0)*$U29)</f>
        <v/>
      </c>
      <c r="Y29" s="49" t="str">
        <f aca="false">IF($P29="","",IF(AND(CapAtMax="Yes",$P29="Y"),MAX(0,MIN($X29,$K29-$E29)),$X29))</f>
        <v/>
      </c>
      <c r="Z29" s="41" t="str">
        <f aca="false">IF(OR($P29="",NOT(ISNUMBER($E29))),"",$E29+$Y29)</f>
        <v/>
      </c>
      <c r="AA29" s="42" t="str">
        <f aca="false">IF(AND(ISNUMBER(Z29),ISNUMBER(J29)),IF(J29&gt;0,Z29/J29,""),"")</f>
        <v/>
      </c>
      <c r="AB29" s="46" t="str">
        <f aca="false">IF($P29="","",TRIM(IF(AND($P29="Y",ISNUMBER(K29),ISNUMBER(Z29)),IF(Z29&gt;K29,"Above range max. ",""),"")&amp;IF(AND($P29="Y",ISNUMBER($X29),ISNUMBER($Y29)),IF($X29-$Y29&gt;0.005,"Capped at range max. ",""),"")&amp;IF(AND(AND(ISNUMBER($G29),$G29&gt;=0,$G29&lt;=1),$H29=""),"Override needs a reason. ","")&amp;IF(AND(AND(ISNUMBER($G29),$G29&gt;=0,$G29&lt;=1),$P29&lt;&gt;"Y"),"Override ignored. ","")&amp;IF(AND($G29&lt;&gt;"",NOT(AND(ISNUMBER($G29),$G29&gt;=0,$G29&lt;=1))),"Override not valid, ignored. ","")&amp;IF(AND($A29&lt;&gt;"",COUNTIF($A$5:$A$254,$A29)&gt;1),"Duplicate ID. ","")))</f>
        <v/>
      </c>
    </row>
    <row r="30" customFormat="false" ht="15" hidden="false" customHeight="false" outlineLevel="0" collapsed="false">
      <c r="A30" s="18"/>
      <c r="B30" s="38"/>
      <c r="C30" s="39"/>
      <c r="D30" s="38"/>
      <c r="E30" s="19"/>
      <c r="F30" s="38"/>
      <c r="G30" s="40"/>
      <c r="H30" s="18"/>
      <c r="I30" s="41" t="str">
        <f aca="false">IF(COUNTA($A30:$F30)=0,"",IF($B30="","",IFERROR(INDEX(Ranges!$B$5:$B$16,MATCH($B30,Ranges!$A$5:$A$16,0)),"")))</f>
        <v/>
      </c>
      <c r="J30" s="41" t="str">
        <f aca="false">IF(COUNTA($A30:$F30)=0,"",IF($B30="","",IFERROR(INDEX(Ranges!$C$5:$C$16,MATCH($B30,Ranges!$A$5:$A$16,0)),"")))</f>
        <v/>
      </c>
      <c r="K30" s="41" t="str">
        <f aca="false">IF(COUNTA($A30:$F30)=0,"",IF($B30="","",IFERROR(INDEX(Ranges!$D$5:$D$16,MATCH($B30,Ranges!$A$5:$A$16,0)),"")))</f>
        <v/>
      </c>
      <c r="L30" s="42" t="str">
        <f aca="false">IF(OR(NOT(ISNUMBER($E30)),NOT(ISNUMBER(J30))),"",IF(J30&gt;0,$E30/J30,""))</f>
        <v/>
      </c>
      <c r="M30" s="43" t="str">
        <f aca="false">IF(OR(NOT(ISNUMBER($E30)),NOT(ISNUMBER(I30)),NOT(ISNUMBER(K30))),"",IF(K30&gt;I30,($E30-I30)/(K30-I30),""))</f>
        <v/>
      </c>
      <c r="N30" s="42" t="str">
        <f aca="false">IF(Basis="Compa-ratio",L30,M30)</f>
        <v/>
      </c>
      <c r="O30" s="44" t="str">
        <f aca="false">IF(ISNUMBER(N30),IFERROR(MATCH(N30,Matrix!$C$9:$G$9,1),1),"")</f>
        <v/>
      </c>
      <c r="P30" s="45" t="str">
        <f aca="false">IF(COUNTA($A30:$F30)=0,"",IF(Q30="","Y","N"))</f>
        <v/>
      </c>
      <c r="Q30" s="46" t="str">
        <f aca="false">IF(COUNTA($A30:$F30)=0,"",IF($A30="","ID missing",IF(TRIM($F30)="Exclude","Excluded by plan status",IF(AND(TRIM($F30)&lt;&gt;"",TRIM($F30)&lt;&gt;"Include"),"Plan status not valid (use Include or Exclude)",IF(NOT(ISNUMBER($C30)),"Hire date missing or not a date",IF($C30&gt;Cutoff,"Hired after cutoff",IF(NOT(ISNUMBER($E30)),"Salary missing or not a number",IF($E30&lt;=0,"Salary missing or not a number",IF(OR(NOT(ISNUMBER(I30)),NOT(ISNUMBER(J30)),NOT(ISNUMBER(K30))),"Grade not found in Ranges",IF($D30="","Rating missing",IF($D30="NR","Not rated (NR)",IF(NOT(ISNUMBER(MATCH($D30,Matrix!$A$14:$A$18,0))),"Rating not valid (use 1 to 5 or NR)",IF(NOT(ISNUMBER(O30)),"Band not found (check range and limits)","")))))))))))))</f>
        <v/>
      </c>
      <c r="R30" s="47" t="str">
        <f aca="false">IF($P30="Y",INDEX(Matrix!$C$14:$G$18,MATCH($D30,Matrix!$A$14:$A$18,0),$O30),IF($P30="N",0,""))</f>
        <v/>
      </c>
      <c r="S30" s="47" t="str">
        <f aca="false">IF($P30="Y",IF(AND(ISNUMBER($G30),$G30&gt;=0,$G30&lt;=1),$G30,$R30),IF($P30="N",0,""))</f>
        <v/>
      </c>
      <c r="T30" s="48" t="str">
        <f aca="false">IF($P30&lt;&gt;"Y",IF($P30="N",0,""),IF(ProrateMethod="None",1,IF($C30&lt;=PeriodStart,1,IF(ProrateMethod="Daily",MAX(0,MIN(1,(PeriodEnd-$C30+1)/(PeriodEnd-PeriodStart+1))),MAX(0,MIN(1,((YEAR(PeriodEnd)-YEAR($C30))*12+MONTH(PeriodEnd)-MONTH($C30)+1-IF(DAY($C30)&gt;MonthCutDay,1,0))/PeriodMonths))))))</f>
        <v/>
      </c>
      <c r="U30" s="47" t="str">
        <f aca="false">IF($P30="","",$S30*$T30)</f>
        <v/>
      </c>
      <c r="V30" s="49" t="str">
        <f aca="false">IF($P30="","",IF(ISNUMBER($E30),$E30,0)*$R30)</f>
        <v/>
      </c>
      <c r="W30" s="49" t="str">
        <f aca="false">IF($P30="","",IF(ISNUMBER($E30),$E30,0)*$S30)</f>
        <v/>
      </c>
      <c r="X30" s="49" t="str">
        <f aca="false">IF($P30="","",IF(ISNUMBER($E30),$E30,0)*$U30)</f>
        <v/>
      </c>
      <c r="Y30" s="49" t="str">
        <f aca="false">IF($P30="","",IF(AND(CapAtMax="Yes",$P30="Y"),MAX(0,MIN($X30,$K30-$E30)),$X30))</f>
        <v/>
      </c>
      <c r="Z30" s="41" t="str">
        <f aca="false">IF(OR($P30="",NOT(ISNUMBER($E30))),"",$E30+$Y30)</f>
        <v/>
      </c>
      <c r="AA30" s="42" t="str">
        <f aca="false">IF(AND(ISNUMBER(Z30),ISNUMBER(J30)),IF(J30&gt;0,Z30/J30,""),"")</f>
        <v/>
      </c>
      <c r="AB30" s="46" t="str">
        <f aca="false">IF($P30="","",TRIM(IF(AND($P30="Y",ISNUMBER(K30),ISNUMBER(Z30)),IF(Z30&gt;K30,"Above range max. ",""),"")&amp;IF(AND($P30="Y",ISNUMBER($X30),ISNUMBER($Y30)),IF($X30-$Y30&gt;0.005,"Capped at range max. ",""),"")&amp;IF(AND(AND(ISNUMBER($G30),$G30&gt;=0,$G30&lt;=1),$H30=""),"Override needs a reason. ","")&amp;IF(AND(AND(ISNUMBER($G30),$G30&gt;=0,$G30&lt;=1),$P30&lt;&gt;"Y"),"Override ignored. ","")&amp;IF(AND($G30&lt;&gt;"",NOT(AND(ISNUMBER($G30),$G30&gt;=0,$G30&lt;=1))),"Override not valid, ignored. ","")&amp;IF(AND($A30&lt;&gt;"",COUNTIF($A$5:$A$254,$A30)&gt;1),"Duplicate ID. ","")))</f>
        <v/>
      </c>
    </row>
    <row r="31" customFormat="false" ht="15" hidden="false" customHeight="false" outlineLevel="0" collapsed="false">
      <c r="A31" s="18"/>
      <c r="B31" s="38"/>
      <c r="C31" s="39"/>
      <c r="D31" s="38"/>
      <c r="E31" s="19"/>
      <c r="F31" s="38"/>
      <c r="G31" s="40"/>
      <c r="H31" s="18"/>
      <c r="I31" s="41" t="str">
        <f aca="false">IF(COUNTA($A31:$F31)=0,"",IF($B31="","",IFERROR(INDEX(Ranges!$B$5:$B$16,MATCH($B31,Ranges!$A$5:$A$16,0)),"")))</f>
        <v/>
      </c>
      <c r="J31" s="41" t="str">
        <f aca="false">IF(COUNTA($A31:$F31)=0,"",IF($B31="","",IFERROR(INDEX(Ranges!$C$5:$C$16,MATCH($B31,Ranges!$A$5:$A$16,0)),"")))</f>
        <v/>
      </c>
      <c r="K31" s="41" t="str">
        <f aca="false">IF(COUNTA($A31:$F31)=0,"",IF($B31="","",IFERROR(INDEX(Ranges!$D$5:$D$16,MATCH($B31,Ranges!$A$5:$A$16,0)),"")))</f>
        <v/>
      </c>
      <c r="L31" s="42" t="str">
        <f aca="false">IF(OR(NOT(ISNUMBER($E31)),NOT(ISNUMBER(J31))),"",IF(J31&gt;0,$E31/J31,""))</f>
        <v/>
      </c>
      <c r="M31" s="43" t="str">
        <f aca="false">IF(OR(NOT(ISNUMBER($E31)),NOT(ISNUMBER(I31)),NOT(ISNUMBER(K31))),"",IF(K31&gt;I31,($E31-I31)/(K31-I31),""))</f>
        <v/>
      </c>
      <c r="N31" s="42" t="str">
        <f aca="false">IF(Basis="Compa-ratio",L31,M31)</f>
        <v/>
      </c>
      <c r="O31" s="44" t="str">
        <f aca="false">IF(ISNUMBER(N31),IFERROR(MATCH(N31,Matrix!$C$9:$G$9,1),1),"")</f>
        <v/>
      </c>
      <c r="P31" s="45" t="str">
        <f aca="false">IF(COUNTA($A31:$F31)=0,"",IF(Q31="","Y","N"))</f>
        <v/>
      </c>
      <c r="Q31" s="46" t="str">
        <f aca="false">IF(COUNTA($A31:$F31)=0,"",IF($A31="","ID missing",IF(TRIM($F31)="Exclude","Excluded by plan status",IF(AND(TRIM($F31)&lt;&gt;"",TRIM($F31)&lt;&gt;"Include"),"Plan status not valid (use Include or Exclude)",IF(NOT(ISNUMBER($C31)),"Hire date missing or not a date",IF($C31&gt;Cutoff,"Hired after cutoff",IF(NOT(ISNUMBER($E31)),"Salary missing or not a number",IF($E31&lt;=0,"Salary missing or not a number",IF(OR(NOT(ISNUMBER(I31)),NOT(ISNUMBER(J31)),NOT(ISNUMBER(K31))),"Grade not found in Ranges",IF($D31="","Rating missing",IF($D31="NR","Not rated (NR)",IF(NOT(ISNUMBER(MATCH($D31,Matrix!$A$14:$A$18,0))),"Rating not valid (use 1 to 5 or NR)",IF(NOT(ISNUMBER(O31)),"Band not found (check range and limits)","")))))))))))))</f>
        <v/>
      </c>
      <c r="R31" s="47" t="str">
        <f aca="false">IF($P31="Y",INDEX(Matrix!$C$14:$G$18,MATCH($D31,Matrix!$A$14:$A$18,0),$O31),IF($P31="N",0,""))</f>
        <v/>
      </c>
      <c r="S31" s="47" t="str">
        <f aca="false">IF($P31="Y",IF(AND(ISNUMBER($G31),$G31&gt;=0,$G31&lt;=1),$G31,$R31),IF($P31="N",0,""))</f>
        <v/>
      </c>
      <c r="T31" s="48" t="str">
        <f aca="false">IF($P31&lt;&gt;"Y",IF($P31="N",0,""),IF(ProrateMethod="None",1,IF($C31&lt;=PeriodStart,1,IF(ProrateMethod="Daily",MAX(0,MIN(1,(PeriodEnd-$C31+1)/(PeriodEnd-PeriodStart+1))),MAX(0,MIN(1,((YEAR(PeriodEnd)-YEAR($C31))*12+MONTH(PeriodEnd)-MONTH($C31)+1-IF(DAY($C31)&gt;MonthCutDay,1,0))/PeriodMonths))))))</f>
        <v/>
      </c>
      <c r="U31" s="47" t="str">
        <f aca="false">IF($P31="","",$S31*$T31)</f>
        <v/>
      </c>
      <c r="V31" s="49" t="str">
        <f aca="false">IF($P31="","",IF(ISNUMBER($E31),$E31,0)*$R31)</f>
        <v/>
      </c>
      <c r="W31" s="49" t="str">
        <f aca="false">IF($P31="","",IF(ISNUMBER($E31),$E31,0)*$S31)</f>
        <v/>
      </c>
      <c r="X31" s="49" t="str">
        <f aca="false">IF($P31="","",IF(ISNUMBER($E31),$E31,0)*$U31)</f>
        <v/>
      </c>
      <c r="Y31" s="49" t="str">
        <f aca="false">IF($P31="","",IF(AND(CapAtMax="Yes",$P31="Y"),MAX(0,MIN($X31,$K31-$E31)),$X31))</f>
        <v/>
      </c>
      <c r="Z31" s="41" t="str">
        <f aca="false">IF(OR($P31="",NOT(ISNUMBER($E31))),"",$E31+$Y31)</f>
        <v/>
      </c>
      <c r="AA31" s="42" t="str">
        <f aca="false">IF(AND(ISNUMBER(Z31),ISNUMBER(J31)),IF(J31&gt;0,Z31/J31,""),"")</f>
        <v/>
      </c>
      <c r="AB31" s="46" t="str">
        <f aca="false">IF($P31="","",TRIM(IF(AND($P31="Y",ISNUMBER(K31),ISNUMBER(Z31)),IF(Z31&gt;K31,"Above range max. ",""),"")&amp;IF(AND($P31="Y",ISNUMBER($X31),ISNUMBER($Y31)),IF($X31-$Y31&gt;0.005,"Capped at range max. ",""),"")&amp;IF(AND(AND(ISNUMBER($G31),$G31&gt;=0,$G31&lt;=1),$H31=""),"Override needs a reason. ","")&amp;IF(AND(AND(ISNUMBER($G31),$G31&gt;=0,$G31&lt;=1),$P31&lt;&gt;"Y"),"Override ignored. ","")&amp;IF(AND($G31&lt;&gt;"",NOT(AND(ISNUMBER($G31),$G31&gt;=0,$G31&lt;=1))),"Override not valid, ignored. ","")&amp;IF(AND($A31&lt;&gt;"",COUNTIF($A$5:$A$254,$A31)&gt;1),"Duplicate ID. ","")))</f>
        <v/>
      </c>
    </row>
    <row r="32" customFormat="false" ht="15" hidden="false" customHeight="false" outlineLevel="0" collapsed="false">
      <c r="A32" s="18"/>
      <c r="B32" s="38"/>
      <c r="C32" s="39"/>
      <c r="D32" s="38"/>
      <c r="E32" s="19"/>
      <c r="F32" s="38"/>
      <c r="G32" s="40"/>
      <c r="H32" s="18"/>
      <c r="I32" s="41" t="str">
        <f aca="false">IF(COUNTA($A32:$F32)=0,"",IF($B32="","",IFERROR(INDEX(Ranges!$B$5:$B$16,MATCH($B32,Ranges!$A$5:$A$16,0)),"")))</f>
        <v/>
      </c>
      <c r="J32" s="41" t="str">
        <f aca="false">IF(COUNTA($A32:$F32)=0,"",IF($B32="","",IFERROR(INDEX(Ranges!$C$5:$C$16,MATCH($B32,Ranges!$A$5:$A$16,0)),"")))</f>
        <v/>
      </c>
      <c r="K32" s="41" t="str">
        <f aca="false">IF(COUNTA($A32:$F32)=0,"",IF($B32="","",IFERROR(INDEX(Ranges!$D$5:$D$16,MATCH($B32,Ranges!$A$5:$A$16,0)),"")))</f>
        <v/>
      </c>
      <c r="L32" s="42" t="str">
        <f aca="false">IF(OR(NOT(ISNUMBER($E32)),NOT(ISNUMBER(J32))),"",IF(J32&gt;0,$E32/J32,""))</f>
        <v/>
      </c>
      <c r="M32" s="43" t="str">
        <f aca="false">IF(OR(NOT(ISNUMBER($E32)),NOT(ISNUMBER(I32)),NOT(ISNUMBER(K32))),"",IF(K32&gt;I32,($E32-I32)/(K32-I32),""))</f>
        <v/>
      </c>
      <c r="N32" s="42" t="str">
        <f aca="false">IF(Basis="Compa-ratio",L32,M32)</f>
        <v/>
      </c>
      <c r="O32" s="44" t="str">
        <f aca="false">IF(ISNUMBER(N32),IFERROR(MATCH(N32,Matrix!$C$9:$G$9,1),1),"")</f>
        <v/>
      </c>
      <c r="P32" s="45" t="str">
        <f aca="false">IF(COUNTA($A32:$F32)=0,"",IF(Q32="","Y","N"))</f>
        <v/>
      </c>
      <c r="Q32" s="46" t="str">
        <f aca="false">IF(COUNTA($A32:$F32)=0,"",IF($A32="","ID missing",IF(TRIM($F32)="Exclude","Excluded by plan status",IF(AND(TRIM($F32)&lt;&gt;"",TRIM($F32)&lt;&gt;"Include"),"Plan status not valid (use Include or Exclude)",IF(NOT(ISNUMBER($C32)),"Hire date missing or not a date",IF($C32&gt;Cutoff,"Hired after cutoff",IF(NOT(ISNUMBER($E32)),"Salary missing or not a number",IF($E32&lt;=0,"Salary missing or not a number",IF(OR(NOT(ISNUMBER(I32)),NOT(ISNUMBER(J32)),NOT(ISNUMBER(K32))),"Grade not found in Ranges",IF($D32="","Rating missing",IF($D32="NR","Not rated (NR)",IF(NOT(ISNUMBER(MATCH($D32,Matrix!$A$14:$A$18,0))),"Rating not valid (use 1 to 5 or NR)",IF(NOT(ISNUMBER(O32)),"Band not found (check range and limits)","")))))))))))))</f>
        <v/>
      </c>
      <c r="R32" s="47" t="str">
        <f aca="false">IF($P32="Y",INDEX(Matrix!$C$14:$G$18,MATCH($D32,Matrix!$A$14:$A$18,0),$O32),IF($P32="N",0,""))</f>
        <v/>
      </c>
      <c r="S32" s="47" t="str">
        <f aca="false">IF($P32="Y",IF(AND(ISNUMBER($G32),$G32&gt;=0,$G32&lt;=1),$G32,$R32),IF($P32="N",0,""))</f>
        <v/>
      </c>
      <c r="T32" s="48" t="str">
        <f aca="false">IF($P32&lt;&gt;"Y",IF($P32="N",0,""),IF(ProrateMethod="None",1,IF($C32&lt;=PeriodStart,1,IF(ProrateMethod="Daily",MAX(0,MIN(1,(PeriodEnd-$C32+1)/(PeriodEnd-PeriodStart+1))),MAX(0,MIN(1,((YEAR(PeriodEnd)-YEAR($C32))*12+MONTH(PeriodEnd)-MONTH($C32)+1-IF(DAY($C32)&gt;MonthCutDay,1,0))/PeriodMonths))))))</f>
        <v/>
      </c>
      <c r="U32" s="47" t="str">
        <f aca="false">IF($P32="","",$S32*$T32)</f>
        <v/>
      </c>
      <c r="V32" s="49" t="str">
        <f aca="false">IF($P32="","",IF(ISNUMBER($E32),$E32,0)*$R32)</f>
        <v/>
      </c>
      <c r="W32" s="49" t="str">
        <f aca="false">IF($P32="","",IF(ISNUMBER($E32),$E32,0)*$S32)</f>
        <v/>
      </c>
      <c r="X32" s="49" t="str">
        <f aca="false">IF($P32="","",IF(ISNUMBER($E32),$E32,0)*$U32)</f>
        <v/>
      </c>
      <c r="Y32" s="49" t="str">
        <f aca="false">IF($P32="","",IF(AND(CapAtMax="Yes",$P32="Y"),MAX(0,MIN($X32,$K32-$E32)),$X32))</f>
        <v/>
      </c>
      <c r="Z32" s="41" t="str">
        <f aca="false">IF(OR($P32="",NOT(ISNUMBER($E32))),"",$E32+$Y32)</f>
        <v/>
      </c>
      <c r="AA32" s="42" t="str">
        <f aca="false">IF(AND(ISNUMBER(Z32),ISNUMBER(J32)),IF(J32&gt;0,Z32/J32,""),"")</f>
        <v/>
      </c>
      <c r="AB32" s="46" t="str">
        <f aca="false">IF($P32="","",TRIM(IF(AND($P32="Y",ISNUMBER(K32),ISNUMBER(Z32)),IF(Z32&gt;K32,"Above range max. ",""),"")&amp;IF(AND($P32="Y",ISNUMBER($X32),ISNUMBER($Y32)),IF($X32-$Y32&gt;0.005,"Capped at range max. ",""),"")&amp;IF(AND(AND(ISNUMBER($G32),$G32&gt;=0,$G32&lt;=1),$H32=""),"Override needs a reason. ","")&amp;IF(AND(AND(ISNUMBER($G32),$G32&gt;=0,$G32&lt;=1),$P32&lt;&gt;"Y"),"Override ignored. ","")&amp;IF(AND($G32&lt;&gt;"",NOT(AND(ISNUMBER($G32),$G32&gt;=0,$G32&lt;=1))),"Override not valid, ignored. ","")&amp;IF(AND($A32&lt;&gt;"",COUNTIF($A$5:$A$254,$A32)&gt;1),"Duplicate ID. ","")))</f>
        <v/>
      </c>
    </row>
    <row r="33" customFormat="false" ht="15" hidden="false" customHeight="false" outlineLevel="0" collapsed="false">
      <c r="A33" s="18"/>
      <c r="B33" s="38"/>
      <c r="C33" s="39"/>
      <c r="D33" s="38"/>
      <c r="E33" s="19"/>
      <c r="F33" s="38"/>
      <c r="G33" s="40"/>
      <c r="H33" s="18"/>
      <c r="I33" s="41" t="str">
        <f aca="false">IF(COUNTA($A33:$F33)=0,"",IF($B33="","",IFERROR(INDEX(Ranges!$B$5:$B$16,MATCH($B33,Ranges!$A$5:$A$16,0)),"")))</f>
        <v/>
      </c>
      <c r="J33" s="41" t="str">
        <f aca="false">IF(COUNTA($A33:$F33)=0,"",IF($B33="","",IFERROR(INDEX(Ranges!$C$5:$C$16,MATCH($B33,Ranges!$A$5:$A$16,0)),"")))</f>
        <v/>
      </c>
      <c r="K33" s="41" t="str">
        <f aca="false">IF(COUNTA($A33:$F33)=0,"",IF($B33="","",IFERROR(INDEX(Ranges!$D$5:$D$16,MATCH($B33,Ranges!$A$5:$A$16,0)),"")))</f>
        <v/>
      </c>
      <c r="L33" s="42" t="str">
        <f aca="false">IF(OR(NOT(ISNUMBER($E33)),NOT(ISNUMBER(J33))),"",IF(J33&gt;0,$E33/J33,""))</f>
        <v/>
      </c>
      <c r="M33" s="43" t="str">
        <f aca="false">IF(OR(NOT(ISNUMBER($E33)),NOT(ISNUMBER(I33)),NOT(ISNUMBER(K33))),"",IF(K33&gt;I33,($E33-I33)/(K33-I33),""))</f>
        <v/>
      </c>
      <c r="N33" s="42" t="str">
        <f aca="false">IF(Basis="Compa-ratio",L33,M33)</f>
        <v/>
      </c>
      <c r="O33" s="44" t="str">
        <f aca="false">IF(ISNUMBER(N33),IFERROR(MATCH(N33,Matrix!$C$9:$G$9,1),1),"")</f>
        <v/>
      </c>
      <c r="P33" s="45" t="str">
        <f aca="false">IF(COUNTA($A33:$F33)=0,"",IF(Q33="","Y","N"))</f>
        <v/>
      </c>
      <c r="Q33" s="46" t="str">
        <f aca="false">IF(COUNTA($A33:$F33)=0,"",IF($A33="","ID missing",IF(TRIM($F33)="Exclude","Excluded by plan status",IF(AND(TRIM($F33)&lt;&gt;"",TRIM($F33)&lt;&gt;"Include"),"Plan status not valid (use Include or Exclude)",IF(NOT(ISNUMBER($C33)),"Hire date missing or not a date",IF($C33&gt;Cutoff,"Hired after cutoff",IF(NOT(ISNUMBER($E33)),"Salary missing or not a number",IF($E33&lt;=0,"Salary missing or not a number",IF(OR(NOT(ISNUMBER(I33)),NOT(ISNUMBER(J33)),NOT(ISNUMBER(K33))),"Grade not found in Ranges",IF($D33="","Rating missing",IF($D33="NR","Not rated (NR)",IF(NOT(ISNUMBER(MATCH($D33,Matrix!$A$14:$A$18,0))),"Rating not valid (use 1 to 5 or NR)",IF(NOT(ISNUMBER(O33)),"Band not found (check range and limits)","")))))))))))))</f>
        <v/>
      </c>
      <c r="R33" s="47" t="str">
        <f aca="false">IF($P33="Y",INDEX(Matrix!$C$14:$G$18,MATCH($D33,Matrix!$A$14:$A$18,0),$O33),IF($P33="N",0,""))</f>
        <v/>
      </c>
      <c r="S33" s="47" t="str">
        <f aca="false">IF($P33="Y",IF(AND(ISNUMBER($G33),$G33&gt;=0,$G33&lt;=1),$G33,$R33),IF($P33="N",0,""))</f>
        <v/>
      </c>
      <c r="T33" s="48" t="str">
        <f aca="false">IF($P33&lt;&gt;"Y",IF($P33="N",0,""),IF(ProrateMethod="None",1,IF($C33&lt;=PeriodStart,1,IF(ProrateMethod="Daily",MAX(0,MIN(1,(PeriodEnd-$C33+1)/(PeriodEnd-PeriodStart+1))),MAX(0,MIN(1,((YEAR(PeriodEnd)-YEAR($C33))*12+MONTH(PeriodEnd)-MONTH($C33)+1-IF(DAY($C33)&gt;MonthCutDay,1,0))/PeriodMonths))))))</f>
        <v/>
      </c>
      <c r="U33" s="47" t="str">
        <f aca="false">IF($P33="","",$S33*$T33)</f>
        <v/>
      </c>
      <c r="V33" s="49" t="str">
        <f aca="false">IF($P33="","",IF(ISNUMBER($E33),$E33,0)*$R33)</f>
        <v/>
      </c>
      <c r="W33" s="49" t="str">
        <f aca="false">IF($P33="","",IF(ISNUMBER($E33),$E33,0)*$S33)</f>
        <v/>
      </c>
      <c r="X33" s="49" t="str">
        <f aca="false">IF($P33="","",IF(ISNUMBER($E33),$E33,0)*$U33)</f>
        <v/>
      </c>
      <c r="Y33" s="49" t="str">
        <f aca="false">IF($P33="","",IF(AND(CapAtMax="Yes",$P33="Y"),MAX(0,MIN($X33,$K33-$E33)),$X33))</f>
        <v/>
      </c>
      <c r="Z33" s="41" t="str">
        <f aca="false">IF(OR($P33="",NOT(ISNUMBER($E33))),"",$E33+$Y33)</f>
        <v/>
      </c>
      <c r="AA33" s="42" t="str">
        <f aca="false">IF(AND(ISNUMBER(Z33),ISNUMBER(J33)),IF(J33&gt;0,Z33/J33,""),"")</f>
        <v/>
      </c>
      <c r="AB33" s="46" t="str">
        <f aca="false">IF($P33="","",TRIM(IF(AND($P33="Y",ISNUMBER(K33),ISNUMBER(Z33)),IF(Z33&gt;K33,"Above range max. ",""),"")&amp;IF(AND($P33="Y",ISNUMBER($X33),ISNUMBER($Y33)),IF($X33-$Y33&gt;0.005,"Capped at range max. ",""),"")&amp;IF(AND(AND(ISNUMBER($G33),$G33&gt;=0,$G33&lt;=1),$H33=""),"Override needs a reason. ","")&amp;IF(AND(AND(ISNUMBER($G33),$G33&gt;=0,$G33&lt;=1),$P33&lt;&gt;"Y"),"Override ignored. ","")&amp;IF(AND($G33&lt;&gt;"",NOT(AND(ISNUMBER($G33),$G33&gt;=0,$G33&lt;=1))),"Override not valid, ignored. ","")&amp;IF(AND($A33&lt;&gt;"",COUNTIF($A$5:$A$254,$A33)&gt;1),"Duplicate ID. ","")))</f>
        <v/>
      </c>
    </row>
    <row r="34" customFormat="false" ht="15" hidden="false" customHeight="false" outlineLevel="0" collapsed="false">
      <c r="A34" s="18"/>
      <c r="B34" s="38"/>
      <c r="C34" s="39"/>
      <c r="D34" s="38"/>
      <c r="E34" s="19"/>
      <c r="F34" s="38"/>
      <c r="G34" s="40"/>
      <c r="H34" s="18"/>
      <c r="I34" s="41" t="str">
        <f aca="false">IF(COUNTA($A34:$F34)=0,"",IF($B34="","",IFERROR(INDEX(Ranges!$B$5:$B$16,MATCH($B34,Ranges!$A$5:$A$16,0)),"")))</f>
        <v/>
      </c>
      <c r="J34" s="41" t="str">
        <f aca="false">IF(COUNTA($A34:$F34)=0,"",IF($B34="","",IFERROR(INDEX(Ranges!$C$5:$C$16,MATCH($B34,Ranges!$A$5:$A$16,0)),"")))</f>
        <v/>
      </c>
      <c r="K34" s="41" t="str">
        <f aca="false">IF(COUNTA($A34:$F34)=0,"",IF($B34="","",IFERROR(INDEX(Ranges!$D$5:$D$16,MATCH($B34,Ranges!$A$5:$A$16,0)),"")))</f>
        <v/>
      </c>
      <c r="L34" s="42" t="str">
        <f aca="false">IF(OR(NOT(ISNUMBER($E34)),NOT(ISNUMBER(J34))),"",IF(J34&gt;0,$E34/J34,""))</f>
        <v/>
      </c>
      <c r="M34" s="43" t="str">
        <f aca="false">IF(OR(NOT(ISNUMBER($E34)),NOT(ISNUMBER(I34)),NOT(ISNUMBER(K34))),"",IF(K34&gt;I34,($E34-I34)/(K34-I34),""))</f>
        <v/>
      </c>
      <c r="N34" s="42" t="str">
        <f aca="false">IF(Basis="Compa-ratio",L34,M34)</f>
        <v/>
      </c>
      <c r="O34" s="44" t="str">
        <f aca="false">IF(ISNUMBER(N34),IFERROR(MATCH(N34,Matrix!$C$9:$G$9,1),1),"")</f>
        <v/>
      </c>
      <c r="P34" s="45" t="str">
        <f aca="false">IF(COUNTA($A34:$F34)=0,"",IF(Q34="","Y","N"))</f>
        <v/>
      </c>
      <c r="Q34" s="46" t="str">
        <f aca="false">IF(COUNTA($A34:$F34)=0,"",IF($A34="","ID missing",IF(TRIM($F34)="Exclude","Excluded by plan status",IF(AND(TRIM($F34)&lt;&gt;"",TRIM($F34)&lt;&gt;"Include"),"Plan status not valid (use Include or Exclude)",IF(NOT(ISNUMBER($C34)),"Hire date missing or not a date",IF($C34&gt;Cutoff,"Hired after cutoff",IF(NOT(ISNUMBER($E34)),"Salary missing or not a number",IF($E34&lt;=0,"Salary missing or not a number",IF(OR(NOT(ISNUMBER(I34)),NOT(ISNUMBER(J34)),NOT(ISNUMBER(K34))),"Grade not found in Ranges",IF($D34="","Rating missing",IF($D34="NR","Not rated (NR)",IF(NOT(ISNUMBER(MATCH($D34,Matrix!$A$14:$A$18,0))),"Rating not valid (use 1 to 5 or NR)",IF(NOT(ISNUMBER(O34)),"Band not found (check range and limits)","")))))))))))))</f>
        <v/>
      </c>
      <c r="R34" s="47" t="str">
        <f aca="false">IF($P34="Y",INDEX(Matrix!$C$14:$G$18,MATCH($D34,Matrix!$A$14:$A$18,0),$O34),IF($P34="N",0,""))</f>
        <v/>
      </c>
      <c r="S34" s="47" t="str">
        <f aca="false">IF($P34="Y",IF(AND(ISNUMBER($G34),$G34&gt;=0,$G34&lt;=1),$G34,$R34),IF($P34="N",0,""))</f>
        <v/>
      </c>
      <c r="T34" s="48" t="str">
        <f aca="false">IF($P34&lt;&gt;"Y",IF($P34="N",0,""),IF(ProrateMethod="None",1,IF($C34&lt;=PeriodStart,1,IF(ProrateMethod="Daily",MAX(0,MIN(1,(PeriodEnd-$C34+1)/(PeriodEnd-PeriodStart+1))),MAX(0,MIN(1,((YEAR(PeriodEnd)-YEAR($C34))*12+MONTH(PeriodEnd)-MONTH($C34)+1-IF(DAY($C34)&gt;MonthCutDay,1,0))/PeriodMonths))))))</f>
        <v/>
      </c>
      <c r="U34" s="47" t="str">
        <f aca="false">IF($P34="","",$S34*$T34)</f>
        <v/>
      </c>
      <c r="V34" s="49" t="str">
        <f aca="false">IF($P34="","",IF(ISNUMBER($E34),$E34,0)*$R34)</f>
        <v/>
      </c>
      <c r="W34" s="49" t="str">
        <f aca="false">IF($P34="","",IF(ISNUMBER($E34),$E34,0)*$S34)</f>
        <v/>
      </c>
      <c r="X34" s="49" t="str">
        <f aca="false">IF($P34="","",IF(ISNUMBER($E34),$E34,0)*$U34)</f>
        <v/>
      </c>
      <c r="Y34" s="49" t="str">
        <f aca="false">IF($P34="","",IF(AND(CapAtMax="Yes",$P34="Y"),MAX(0,MIN($X34,$K34-$E34)),$X34))</f>
        <v/>
      </c>
      <c r="Z34" s="41" t="str">
        <f aca="false">IF(OR($P34="",NOT(ISNUMBER($E34))),"",$E34+$Y34)</f>
        <v/>
      </c>
      <c r="AA34" s="42" t="str">
        <f aca="false">IF(AND(ISNUMBER(Z34),ISNUMBER(J34)),IF(J34&gt;0,Z34/J34,""),"")</f>
        <v/>
      </c>
      <c r="AB34" s="46" t="str">
        <f aca="false">IF($P34="","",TRIM(IF(AND($P34="Y",ISNUMBER(K34),ISNUMBER(Z34)),IF(Z34&gt;K34,"Above range max. ",""),"")&amp;IF(AND($P34="Y",ISNUMBER($X34),ISNUMBER($Y34)),IF($X34-$Y34&gt;0.005,"Capped at range max. ",""),"")&amp;IF(AND(AND(ISNUMBER($G34),$G34&gt;=0,$G34&lt;=1),$H34=""),"Override needs a reason. ","")&amp;IF(AND(AND(ISNUMBER($G34),$G34&gt;=0,$G34&lt;=1),$P34&lt;&gt;"Y"),"Override ignored. ","")&amp;IF(AND($G34&lt;&gt;"",NOT(AND(ISNUMBER($G34),$G34&gt;=0,$G34&lt;=1))),"Override not valid, ignored. ","")&amp;IF(AND($A34&lt;&gt;"",COUNTIF($A$5:$A$254,$A34)&gt;1),"Duplicate ID. ","")))</f>
        <v/>
      </c>
    </row>
    <row r="35" customFormat="false" ht="15" hidden="false" customHeight="false" outlineLevel="0" collapsed="false">
      <c r="A35" s="18"/>
      <c r="B35" s="38"/>
      <c r="C35" s="39"/>
      <c r="D35" s="38"/>
      <c r="E35" s="19"/>
      <c r="F35" s="38"/>
      <c r="G35" s="40"/>
      <c r="H35" s="18"/>
      <c r="I35" s="41" t="str">
        <f aca="false">IF(COUNTA($A35:$F35)=0,"",IF($B35="","",IFERROR(INDEX(Ranges!$B$5:$B$16,MATCH($B35,Ranges!$A$5:$A$16,0)),"")))</f>
        <v/>
      </c>
      <c r="J35" s="41" t="str">
        <f aca="false">IF(COUNTA($A35:$F35)=0,"",IF($B35="","",IFERROR(INDEX(Ranges!$C$5:$C$16,MATCH($B35,Ranges!$A$5:$A$16,0)),"")))</f>
        <v/>
      </c>
      <c r="K35" s="41" t="str">
        <f aca="false">IF(COUNTA($A35:$F35)=0,"",IF($B35="","",IFERROR(INDEX(Ranges!$D$5:$D$16,MATCH($B35,Ranges!$A$5:$A$16,0)),"")))</f>
        <v/>
      </c>
      <c r="L35" s="42" t="str">
        <f aca="false">IF(OR(NOT(ISNUMBER($E35)),NOT(ISNUMBER(J35))),"",IF(J35&gt;0,$E35/J35,""))</f>
        <v/>
      </c>
      <c r="M35" s="43" t="str">
        <f aca="false">IF(OR(NOT(ISNUMBER($E35)),NOT(ISNUMBER(I35)),NOT(ISNUMBER(K35))),"",IF(K35&gt;I35,($E35-I35)/(K35-I35),""))</f>
        <v/>
      </c>
      <c r="N35" s="42" t="str">
        <f aca="false">IF(Basis="Compa-ratio",L35,M35)</f>
        <v/>
      </c>
      <c r="O35" s="44" t="str">
        <f aca="false">IF(ISNUMBER(N35),IFERROR(MATCH(N35,Matrix!$C$9:$G$9,1),1),"")</f>
        <v/>
      </c>
      <c r="P35" s="45" t="str">
        <f aca="false">IF(COUNTA($A35:$F35)=0,"",IF(Q35="","Y","N"))</f>
        <v/>
      </c>
      <c r="Q35" s="46" t="str">
        <f aca="false">IF(COUNTA($A35:$F35)=0,"",IF($A35="","ID missing",IF(TRIM($F35)="Exclude","Excluded by plan status",IF(AND(TRIM($F35)&lt;&gt;"",TRIM($F35)&lt;&gt;"Include"),"Plan status not valid (use Include or Exclude)",IF(NOT(ISNUMBER($C35)),"Hire date missing or not a date",IF($C35&gt;Cutoff,"Hired after cutoff",IF(NOT(ISNUMBER($E35)),"Salary missing or not a number",IF($E35&lt;=0,"Salary missing or not a number",IF(OR(NOT(ISNUMBER(I35)),NOT(ISNUMBER(J35)),NOT(ISNUMBER(K35))),"Grade not found in Ranges",IF($D35="","Rating missing",IF($D35="NR","Not rated (NR)",IF(NOT(ISNUMBER(MATCH($D35,Matrix!$A$14:$A$18,0))),"Rating not valid (use 1 to 5 or NR)",IF(NOT(ISNUMBER(O35)),"Band not found (check range and limits)","")))))))))))))</f>
        <v/>
      </c>
      <c r="R35" s="47" t="str">
        <f aca="false">IF($P35="Y",INDEX(Matrix!$C$14:$G$18,MATCH($D35,Matrix!$A$14:$A$18,0),$O35),IF($P35="N",0,""))</f>
        <v/>
      </c>
      <c r="S35" s="47" t="str">
        <f aca="false">IF($P35="Y",IF(AND(ISNUMBER($G35),$G35&gt;=0,$G35&lt;=1),$G35,$R35),IF($P35="N",0,""))</f>
        <v/>
      </c>
      <c r="T35" s="48" t="str">
        <f aca="false">IF($P35&lt;&gt;"Y",IF($P35="N",0,""),IF(ProrateMethod="None",1,IF($C35&lt;=PeriodStart,1,IF(ProrateMethod="Daily",MAX(0,MIN(1,(PeriodEnd-$C35+1)/(PeriodEnd-PeriodStart+1))),MAX(0,MIN(1,((YEAR(PeriodEnd)-YEAR($C35))*12+MONTH(PeriodEnd)-MONTH($C35)+1-IF(DAY($C35)&gt;MonthCutDay,1,0))/PeriodMonths))))))</f>
        <v/>
      </c>
      <c r="U35" s="47" t="str">
        <f aca="false">IF($P35="","",$S35*$T35)</f>
        <v/>
      </c>
      <c r="V35" s="49" t="str">
        <f aca="false">IF($P35="","",IF(ISNUMBER($E35),$E35,0)*$R35)</f>
        <v/>
      </c>
      <c r="W35" s="49" t="str">
        <f aca="false">IF($P35="","",IF(ISNUMBER($E35),$E35,0)*$S35)</f>
        <v/>
      </c>
      <c r="X35" s="49" t="str">
        <f aca="false">IF($P35="","",IF(ISNUMBER($E35),$E35,0)*$U35)</f>
        <v/>
      </c>
      <c r="Y35" s="49" t="str">
        <f aca="false">IF($P35="","",IF(AND(CapAtMax="Yes",$P35="Y"),MAX(0,MIN($X35,$K35-$E35)),$X35))</f>
        <v/>
      </c>
      <c r="Z35" s="41" t="str">
        <f aca="false">IF(OR($P35="",NOT(ISNUMBER($E35))),"",$E35+$Y35)</f>
        <v/>
      </c>
      <c r="AA35" s="42" t="str">
        <f aca="false">IF(AND(ISNUMBER(Z35),ISNUMBER(J35)),IF(J35&gt;0,Z35/J35,""),"")</f>
        <v/>
      </c>
      <c r="AB35" s="46" t="str">
        <f aca="false">IF($P35="","",TRIM(IF(AND($P35="Y",ISNUMBER(K35),ISNUMBER(Z35)),IF(Z35&gt;K35,"Above range max. ",""),"")&amp;IF(AND($P35="Y",ISNUMBER($X35),ISNUMBER($Y35)),IF($X35-$Y35&gt;0.005,"Capped at range max. ",""),"")&amp;IF(AND(AND(ISNUMBER($G35),$G35&gt;=0,$G35&lt;=1),$H35=""),"Override needs a reason. ","")&amp;IF(AND(AND(ISNUMBER($G35),$G35&gt;=0,$G35&lt;=1),$P35&lt;&gt;"Y"),"Override ignored. ","")&amp;IF(AND($G35&lt;&gt;"",NOT(AND(ISNUMBER($G35),$G35&gt;=0,$G35&lt;=1))),"Override not valid, ignored. ","")&amp;IF(AND($A35&lt;&gt;"",COUNTIF($A$5:$A$254,$A35)&gt;1),"Duplicate ID. ","")))</f>
        <v/>
      </c>
    </row>
    <row r="36" customFormat="false" ht="15" hidden="false" customHeight="false" outlineLevel="0" collapsed="false">
      <c r="A36" s="18"/>
      <c r="B36" s="38"/>
      <c r="C36" s="39"/>
      <c r="D36" s="38"/>
      <c r="E36" s="19"/>
      <c r="F36" s="38"/>
      <c r="G36" s="40"/>
      <c r="H36" s="18"/>
      <c r="I36" s="41" t="str">
        <f aca="false">IF(COUNTA($A36:$F36)=0,"",IF($B36="","",IFERROR(INDEX(Ranges!$B$5:$B$16,MATCH($B36,Ranges!$A$5:$A$16,0)),"")))</f>
        <v/>
      </c>
      <c r="J36" s="41" t="str">
        <f aca="false">IF(COUNTA($A36:$F36)=0,"",IF($B36="","",IFERROR(INDEX(Ranges!$C$5:$C$16,MATCH($B36,Ranges!$A$5:$A$16,0)),"")))</f>
        <v/>
      </c>
      <c r="K36" s="41" t="str">
        <f aca="false">IF(COUNTA($A36:$F36)=0,"",IF($B36="","",IFERROR(INDEX(Ranges!$D$5:$D$16,MATCH($B36,Ranges!$A$5:$A$16,0)),"")))</f>
        <v/>
      </c>
      <c r="L36" s="42" t="str">
        <f aca="false">IF(OR(NOT(ISNUMBER($E36)),NOT(ISNUMBER(J36))),"",IF(J36&gt;0,$E36/J36,""))</f>
        <v/>
      </c>
      <c r="M36" s="43" t="str">
        <f aca="false">IF(OR(NOT(ISNUMBER($E36)),NOT(ISNUMBER(I36)),NOT(ISNUMBER(K36))),"",IF(K36&gt;I36,($E36-I36)/(K36-I36),""))</f>
        <v/>
      </c>
      <c r="N36" s="42" t="str">
        <f aca="false">IF(Basis="Compa-ratio",L36,M36)</f>
        <v/>
      </c>
      <c r="O36" s="44" t="str">
        <f aca="false">IF(ISNUMBER(N36),IFERROR(MATCH(N36,Matrix!$C$9:$G$9,1),1),"")</f>
        <v/>
      </c>
      <c r="P36" s="45" t="str">
        <f aca="false">IF(COUNTA($A36:$F36)=0,"",IF(Q36="","Y","N"))</f>
        <v/>
      </c>
      <c r="Q36" s="46" t="str">
        <f aca="false">IF(COUNTA($A36:$F36)=0,"",IF($A36="","ID missing",IF(TRIM($F36)="Exclude","Excluded by plan status",IF(AND(TRIM($F36)&lt;&gt;"",TRIM($F36)&lt;&gt;"Include"),"Plan status not valid (use Include or Exclude)",IF(NOT(ISNUMBER($C36)),"Hire date missing or not a date",IF($C36&gt;Cutoff,"Hired after cutoff",IF(NOT(ISNUMBER($E36)),"Salary missing or not a number",IF($E36&lt;=0,"Salary missing or not a number",IF(OR(NOT(ISNUMBER(I36)),NOT(ISNUMBER(J36)),NOT(ISNUMBER(K36))),"Grade not found in Ranges",IF($D36="","Rating missing",IF($D36="NR","Not rated (NR)",IF(NOT(ISNUMBER(MATCH($D36,Matrix!$A$14:$A$18,0))),"Rating not valid (use 1 to 5 or NR)",IF(NOT(ISNUMBER(O36)),"Band not found (check range and limits)","")))))))))))))</f>
        <v/>
      </c>
      <c r="R36" s="47" t="str">
        <f aca="false">IF($P36="Y",INDEX(Matrix!$C$14:$G$18,MATCH($D36,Matrix!$A$14:$A$18,0),$O36),IF($P36="N",0,""))</f>
        <v/>
      </c>
      <c r="S36" s="47" t="str">
        <f aca="false">IF($P36="Y",IF(AND(ISNUMBER($G36),$G36&gt;=0,$G36&lt;=1),$G36,$R36),IF($P36="N",0,""))</f>
        <v/>
      </c>
      <c r="T36" s="48" t="str">
        <f aca="false">IF($P36&lt;&gt;"Y",IF($P36="N",0,""),IF(ProrateMethod="None",1,IF($C36&lt;=PeriodStart,1,IF(ProrateMethod="Daily",MAX(0,MIN(1,(PeriodEnd-$C36+1)/(PeriodEnd-PeriodStart+1))),MAX(0,MIN(1,((YEAR(PeriodEnd)-YEAR($C36))*12+MONTH(PeriodEnd)-MONTH($C36)+1-IF(DAY($C36)&gt;MonthCutDay,1,0))/PeriodMonths))))))</f>
        <v/>
      </c>
      <c r="U36" s="47" t="str">
        <f aca="false">IF($P36="","",$S36*$T36)</f>
        <v/>
      </c>
      <c r="V36" s="49" t="str">
        <f aca="false">IF($P36="","",IF(ISNUMBER($E36),$E36,0)*$R36)</f>
        <v/>
      </c>
      <c r="W36" s="49" t="str">
        <f aca="false">IF($P36="","",IF(ISNUMBER($E36),$E36,0)*$S36)</f>
        <v/>
      </c>
      <c r="X36" s="49" t="str">
        <f aca="false">IF($P36="","",IF(ISNUMBER($E36),$E36,0)*$U36)</f>
        <v/>
      </c>
      <c r="Y36" s="49" t="str">
        <f aca="false">IF($P36="","",IF(AND(CapAtMax="Yes",$P36="Y"),MAX(0,MIN($X36,$K36-$E36)),$X36))</f>
        <v/>
      </c>
      <c r="Z36" s="41" t="str">
        <f aca="false">IF(OR($P36="",NOT(ISNUMBER($E36))),"",$E36+$Y36)</f>
        <v/>
      </c>
      <c r="AA36" s="42" t="str">
        <f aca="false">IF(AND(ISNUMBER(Z36),ISNUMBER(J36)),IF(J36&gt;0,Z36/J36,""),"")</f>
        <v/>
      </c>
      <c r="AB36" s="46" t="str">
        <f aca="false">IF($P36="","",TRIM(IF(AND($P36="Y",ISNUMBER(K36),ISNUMBER(Z36)),IF(Z36&gt;K36,"Above range max. ",""),"")&amp;IF(AND($P36="Y",ISNUMBER($X36),ISNUMBER($Y36)),IF($X36-$Y36&gt;0.005,"Capped at range max. ",""),"")&amp;IF(AND(AND(ISNUMBER($G36),$G36&gt;=0,$G36&lt;=1),$H36=""),"Override needs a reason. ","")&amp;IF(AND(AND(ISNUMBER($G36),$G36&gt;=0,$G36&lt;=1),$P36&lt;&gt;"Y"),"Override ignored. ","")&amp;IF(AND($G36&lt;&gt;"",NOT(AND(ISNUMBER($G36),$G36&gt;=0,$G36&lt;=1))),"Override not valid, ignored. ","")&amp;IF(AND($A36&lt;&gt;"",COUNTIF($A$5:$A$254,$A36)&gt;1),"Duplicate ID. ","")))</f>
        <v/>
      </c>
    </row>
    <row r="37" customFormat="false" ht="15" hidden="false" customHeight="false" outlineLevel="0" collapsed="false">
      <c r="A37" s="18"/>
      <c r="B37" s="38"/>
      <c r="C37" s="39"/>
      <c r="D37" s="38"/>
      <c r="E37" s="19"/>
      <c r="F37" s="38"/>
      <c r="G37" s="40"/>
      <c r="H37" s="18"/>
      <c r="I37" s="41" t="str">
        <f aca="false">IF(COUNTA($A37:$F37)=0,"",IF($B37="","",IFERROR(INDEX(Ranges!$B$5:$B$16,MATCH($B37,Ranges!$A$5:$A$16,0)),"")))</f>
        <v/>
      </c>
      <c r="J37" s="41" t="str">
        <f aca="false">IF(COUNTA($A37:$F37)=0,"",IF($B37="","",IFERROR(INDEX(Ranges!$C$5:$C$16,MATCH($B37,Ranges!$A$5:$A$16,0)),"")))</f>
        <v/>
      </c>
      <c r="K37" s="41" t="str">
        <f aca="false">IF(COUNTA($A37:$F37)=0,"",IF($B37="","",IFERROR(INDEX(Ranges!$D$5:$D$16,MATCH($B37,Ranges!$A$5:$A$16,0)),"")))</f>
        <v/>
      </c>
      <c r="L37" s="42" t="str">
        <f aca="false">IF(OR(NOT(ISNUMBER($E37)),NOT(ISNUMBER(J37))),"",IF(J37&gt;0,$E37/J37,""))</f>
        <v/>
      </c>
      <c r="M37" s="43" t="str">
        <f aca="false">IF(OR(NOT(ISNUMBER($E37)),NOT(ISNUMBER(I37)),NOT(ISNUMBER(K37))),"",IF(K37&gt;I37,($E37-I37)/(K37-I37),""))</f>
        <v/>
      </c>
      <c r="N37" s="42" t="str">
        <f aca="false">IF(Basis="Compa-ratio",L37,M37)</f>
        <v/>
      </c>
      <c r="O37" s="44" t="str">
        <f aca="false">IF(ISNUMBER(N37),IFERROR(MATCH(N37,Matrix!$C$9:$G$9,1),1),"")</f>
        <v/>
      </c>
      <c r="P37" s="45" t="str">
        <f aca="false">IF(COUNTA($A37:$F37)=0,"",IF(Q37="","Y","N"))</f>
        <v/>
      </c>
      <c r="Q37" s="46" t="str">
        <f aca="false">IF(COUNTA($A37:$F37)=0,"",IF($A37="","ID missing",IF(TRIM($F37)="Exclude","Excluded by plan status",IF(AND(TRIM($F37)&lt;&gt;"",TRIM($F37)&lt;&gt;"Include"),"Plan status not valid (use Include or Exclude)",IF(NOT(ISNUMBER($C37)),"Hire date missing or not a date",IF($C37&gt;Cutoff,"Hired after cutoff",IF(NOT(ISNUMBER($E37)),"Salary missing or not a number",IF($E37&lt;=0,"Salary missing or not a number",IF(OR(NOT(ISNUMBER(I37)),NOT(ISNUMBER(J37)),NOT(ISNUMBER(K37))),"Grade not found in Ranges",IF($D37="","Rating missing",IF($D37="NR","Not rated (NR)",IF(NOT(ISNUMBER(MATCH($D37,Matrix!$A$14:$A$18,0))),"Rating not valid (use 1 to 5 or NR)",IF(NOT(ISNUMBER(O37)),"Band not found (check range and limits)","")))))))))))))</f>
        <v/>
      </c>
      <c r="R37" s="47" t="str">
        <f aca="false">IF($P37="Y",INDEX(Matrix!$C$14:$G$18,MATCH($D37,Matrix!$A$14:$A$18,0),$O37),IF($P37="N",0,""))</f>
        <v/>
      </c>
      <c r="S37" s="47" t="str">
        <f aca="false">IF($P37="Y",IF(AND(ISNUMBER($G37),$G37&gt;=0,$G37&lt;=1),$G37,$R37),IF($P37="N",0,""))</f>
        <v/>
      </c>
      <c r="T37" s="48" t="str">
        <f aca="false">IF($P37&lt;&gt;"Y",IF($P37="N",0,""),IF(ProrateMethod="None",1,IF($C37&lt;=PeriodStart,1,IF(ProrateMethod="Daily",MAX(0,MIN(1,(PeriodEnd-$C37+1)/(PeriodEnd-PeriodStart+1))),MAX(0,MIN(1,((YEAR(PeriodEnd)-YEAR($C37))*12+MONTH(PeriodEnd)-MONTH($C37)+1-IF(DAY($C37)&gt;MonthCutDay,1,0))/PeriodMonths))))))</f>
        <v/>
      </c>
      <c r="U37" s="47" t="str">
        <f aca="false">IF($P37="","",$S37*$T37)</f>
        <v/>
      </c>
      <c r="V37" s="49" t="str">
        <f aca="false">IF($P37="","",IF(ISNUMBER($E37),$E37,0)*$R37)</f>
        <v/>
      </c>
      <c r="W37" s="49" t="str">
        <f aca="false">IF($P37="","",IF(ISNUMBER($E37),$E37,0)*$S37)</f>
        <v/>
      </c>
      <c r="X37" s="49" t="str">
        <f aca="false">IF($P37="","",IF(ISNUMBER($E37),$E37,0)*$U37)</f>
        <v/>
      </c>
      <c r="Y37" s="49" t="str">
        <f aca="false">IF($P37="","",IF(AND(CapAtMax="Yes",$P37="Y"),MAX(0,MIN($X37,$K37-$E37)),$X37))</f>
        <v/>
      </c>
      <c r="Z37" s="41" t="str">
        <f aca="false">IF(OR($P37="",NOT(ISNUMBER($E37))),"",$E37+$Y37)</f>
        <v/>
      </c>
      <c r="AA37" s="42" t="str">
        <f aca="false">IF(AND(ISNUMBER(Z37),ISNUMBER(J37)),IF(J37&gt;0,Z37/J37,""),"")</f>
        <v/>
      </c>
      <c r="AB37" s="46" t="str">
        <f aca="false">IF($P37="","",TRIM(IF(AND($P37="Y",ISNUMBER(K37),ISNUMBER(Z37)),IF(Z37&gt;K37,"Above range max. ",""),"")&amp;IF(AND($P37="Y",ISNUMBER($X37),ISNUMBER($Y37)),IF($X37-$Y37&gt;0.005,"Capped at range max. ",""),"")&amp;IF(AND(AND(ISNUMBER($G37),$G37&gt;=0,$G37&lt;=1),$H37=""),"Override needs a reason. ","")&amp;IF(AND(AND(ISNUMBER($G37),$G37&gt;=0,$G37&lt;=1),$P37&lt;&gt;"Y"),"Override ignored. ","")&amp;IF(AND($G37&lt;&gt;"",NOT(AND(ISNUMBER($G37),$G37&gt;=0,$G37&lt;=1))),"Override not valid, ignored. ","")&amp;IF(AND($A37&lt;&gt;"",COUNTIF($A$5:$A$254,$A37)&gt;1),"Duplicate ID. ","")))</f>
        <v/>
      </c>
    </row>
    <row r="38" customFormat="false" ht="15" hidden="false" customHeight="false" outlineLevel="0" collapsed="false">
      <c r="A38" s="18"/>
      <c r="B38" s="38"/>
      <c r="C38" s="39"/>
      <c r="D38" s="38"/>
      <c r="E38" s="19"/>
      <c r="F38" s="38"/>
      <c r="G38" s="40"/>
      <c r="H38" s="18"/>
      <c r="I38" s="41" t="str">
        <f aca="false">IF(COUNTA($A38:$F38)=0,"",IF($B38="","",IFERROR(INDEX(Ranges!$B$5:$B$16,MATCH($B38,Ranges!$A$5:$A$16,0)),"")))</f>
        <v/>
      </c>
      <c r="J38" s="41" t="str">
        <f aca="false">IF(COUNTA($A38:$F38)=0,"",IF($B38="","",IFERROR(INDEX(Ranges!$C$5:$C$16,MATCH($B38,Ranges!$A$5:$A$16,0)),"")))</f>
        <v/>
      </c>
      <c r="K38" s="41" t="str">
        <f aca="false">IF(COUNTA($A38:$F38)=0,"",IF($B38="","",IFERROR(INDEX(Ranges!$D$5:$D$16,MATCH($B38,Ranges!$A$5:$A$16,0)),"")))</f>
        <v/>
      </c>
      <c r="L38" s="42" t="str">
        <f aca="false">IF(OR(NOT(ISNUMBER($E38)),NOT(ISNUMBER(J38))),"",IF(J38&gt;0,$E38/J38,""))</f>
        <v/>
      </c>
      <c r="M38" s="43" t="str">
        <f aca="false">IF(OR(NOT(ISNUMBER($E38)),NOT(ISNUMBER(I38)),NOT(ISNUMBER(K38))),"",IF(K38&gt;I38,($E38-I38)/(K38-I38),""))</f>
        <v/>
      </c>
      <c r="N38" s="42" t="str">
        <f aca="false">IF(Basis="Compa-ratio",L38,M38)</f>
        <v/>
      </c>
      <c r="O38" s="44" t="str">
        <f aca="false">IF(ISNUMBER(N38),IFERROR(MATCH(N38,Matrix!$C$9:$G$9,1),1),"")</f>
        <v/>
      </c>
      <c r="P38" s="45" t="str">
        <f aca="false">IF(COUNTA($A38:$F38)=0,"",IF(Q38="","Y","N"))</f>
        <v/>
      </c>
      <c r="Q38" s="46" t="str">
        <f aca="false">IF(COUNTA($A38:$F38)=0,"",IF($A38="","ID missing",IF(TRIM($F38)="Exclude","Excluded by plan status",IF(AND(TRIM($F38)&lt;&gt;"",TRIM($F38)&lt;&gt;"Include"),"Plan status not valid (use Include or Exclude)",IF(NOT(ISNUMBER($C38)),"Hire date missing or not a date",IF($C38&gt;Cutoff,"Hired after cutoff",IF(NOT(ISNUMBER($E38)),"Salary missing or not a number",IF($E38&lt;=0,"Salary missing or not a number",IF(OR(NOT(ISNUMBER(I38)),NOT(ISNUMBER(J38)),NOT(ISNUMBER(K38))),"Grade not found in Ranges",IF($D38="","Rating missing",IF($D38="NR","Not rated (NR)",IF(NOT(ISNUMBER(MATCH($D38,Matrix!$A$14:$A$18,0))),"Rating not valid (use 1 to 5 or NR)",IF(NOT(ISNUMBER(O38)),"Band not found (check range and limits)","")))))))))))))</f>
        <v/>
      </c>
      <c r="R38" s="47" t="str">
        <f aca="false">IF($P38="Y",INDEX(Matrix!$C$14:$G$18,MATCH($D38,Matrix!$A$14:$A$18,0),$O38),IF($P38="N",0,""))</f>
        <v/>
      </c>
      <c r="S38" s="47" t="str">
        <f aca="false">IF($P38="Y",IF(AND(ISNUMBER($G38),$G38&gt;=0,$G38&lt;=1),$G38,$R38),IF($P38="N",0,""))</f>
        <v/>
      </c>
      <c r="T38" s="48" t="str">
        <f aca="false">IF($P38&lt;&gt;"Y",IF($P38="N",0,""),IF(ProrateMethod="None",1,IF($C38&lt;=PeriodStart,1,IF(ProrateMethod="Daily",MAX(0,MIN(1,(PeriodEnd-$C38+1)/(PeriodEnd-PeriodStart+1))),MAX(0,MIN(1,((YEAR(PeriodEnd)-YEAR($C38))*12+MONTH(PeriodEnd)-MONTH($C38)+1-IF(DAY($C38)&gt;MonthCutDay,1,0))/PeriodMonths))))))</f>
        <v/>
      </c>
      <c r="U38" s="47" t="str">
        <f aca="false">IF($P38="","",$S38*$T38)</f>
        <v/>
      </c>
      <c r="V38" s="49" t="str">
        <f aca="false">IF($P38="","",IF(ISNUMBER($E38),$E38,0)*$R38)</f>
        <v/>
      </c>
      <c r="W38" s="49" t="str">
        <f aca="false">IF($P38="","",IF(ISNUMBER($E38),$E38,0)*$S38)</f>
        <v/>
      </c>
      <c r="X38" s="49" t="str">
        <f aca="false">IF($P38="","",IF(ISNUMBER($E38),$E38,0)*$U38)</f>
        <v/>
      </c>
      <c r="Y38" s="49" t="str">
        <f aca="false">IF($P38="","",IF(AND(CapAtMax="Yes",$P38="Y"),MAX(0,MIN($X38,$K38-$E38)),$X38))</f>
        <v/>
      </c>
      <c r="Z38" s="41" t="str">
        <f aca="false">IF(OR($P38="",NOT(ISNUMBER($E38))),"",$E38+$Y38)</f>
        <v/>
      </c>
      <c r="AA38" s="42" t="str">
        <f aca="false">IF(AND(ISNUMBER(Z38),ISNUMBER(J38)),IF(J38&gt;0,Z38/J38,""),"")</f>
        <v/>
      </c>
      <c r="AB38" s="46" t="str">
        <f aca="false">IF($P38="","",TRIM(IF(AND($P38="Y",ISNUMBER(K38),ISNUMBER(Z38)),IF(Z38&gt;K38,"Above range max. ",""),"")&amp;IF(AND($P38="Y",ISNUMBER($X38),ISNUMBER($Y38)),IF($X38-$Y38&gt;0.005,"Capped at range max. ",""),"")&amp;IF(AND(AND(ISNUMBER($G38),$G38&gt;=0,$G38&lt;=1),$H38=""),"Override needs a reason. ","")&amp;IF(AND(AND(ISNUMBER($G38),$G38&gt;=0,$G38&lt;=1),$P38&lt;&gt;"Y"),"Override ignored. ","")&amp;IF(AND($G38&lt;&gt;"",NOT(AND(ISNUMBER($G38),$G38&gt;=0,$G38&lt;=1))),"Override not valid, ignored. ","")&amp;IF(AND($A38&lt;&gt;"",COUNTIF($A$5:$A$254,$A38)&gt;1),"Duplicate ID. ","")))</f>
        <v/>
      </c>
    </row>
    <row r="39" customFormat="false" ht="15" hidden="false" customHeight="false" outlineLevel="0" collapsed="false">
      <c r="A39" s="18"/>
      <c r="B39" s="38"/>
      <c r="C39" s="39"/>
      <c r="D39" s="38"/>
      <c r="E39" s="19"/>
      <c r="F39" s="38"/>
      <c r="G39" s="40"/>
      <c r="H39" s="18"/>
      <c r="I39" s="41" t="str">
        <f aca="false">IF(COUNTA($A39:$F39)=0,"",IF($B39="","",IFERROR(INDEX(Ranges!$B$5:$B$16,MATCH($B39,Ranges!$A$5:$A$16,0)),"")))</f>
        <v/>
      </c>
      <c r="J39" s="41" t="str">
        <f aca="false">IF(COUNTA($A39:$F39)=0,"",IF($B39="","",IFERROR(INDEX(Ranges!$C$5:$C$16,MATCH($B39,Ranges!$A$5:$A$16,0)),"")))</f>
        <v/>
      </c>
      <c r="K39" s="41" t="str">
        <f aca="false">IF(COUNTA($A39:$F39)=0,"",IF($B39="","",IFERROR(INDEX(Ranges!$D$5:$D$16,MATCH($B39,Ranges!$A$5:$A$16,0)),"")))</f>
        <v/>
      </c>
      <c r="L39" s="42" t="str">
        <f aca="false">IF(OR(NOT(ISNUMBER($E39)),NOT(ISNUMBER(J39))),"",IF(J39&gt;0,$E39/J39,""))</f>
        <v/>
      </c>
      <c r="M39" s="43" t="str">
        <f aca="false">IF(OR(NOT(ISNUMBER($E39)),NOT(ISNUMBER(I39)),NOT(ISNUMBER(K39))),"",IF(K39&gt;I39,($E39-I39)/(K39-I39),""))</f>
        <v/>
      </c>
      <c r="N39" s="42" t="str">
        <f aca="false">IF(Basis="Compa-ratio",L39,M39)</f>
        <v/>
      </c>
      <c r="O39" s="44" t="str">
        <f aca="false">IF(ISNUMBER(N39),IFERROR(MATCH(N39,Matrix!$C$9:$G$9,1),1),"")</f>
        <v/>
      </c>
      <c r="P39" s="45" t="str">
        <f aca="false">IF(COUNTA($A39:$F39)=0,"",IF(Q39="","Y","N"))</f>
        <v/>
      </c>
      <c r="Q39" s="46" t="str">
        <f aca="false">IF(COUNTA($A39:$F39)=0,"",IF($A39="","ID missing",IF(TRIM($F39)="Exclude","Excluded by plan status",IF(AND(TRIM($F39)&lt;&gt;"",TRIM($F39)&lt;&gt;"Include"),"Plan status not valid (use Include or Exclude)",IF(NOT(ISNUMBER($C39)),"Hire date missing or not a date",IF($C39&gt;Cutoff,"Hired after cutoff",IF(NOT(ISNUMBER($E39)),"Salary missing or not a number",IF($E39&lt;=0,"Salary missing or not a number",IF(OR(NOT(ISNUMBER(I39)),NOT(ISNUMBER(J39)),NOT(ISNUMBER(K39))),"Grade not found in Ranges",IF($D39="","Rating missing",IF($D39="NR","Not rated (NR)",IF(NOT(ISNUMBER(MATCH($D39,Matrix!$A$14:$A$18,0))),"Rating not valid (use 1 to 5 or NR)",IF(NOT(ISNUMBER(O39)),"Band not found (check range and limits)","")))))))))))))</f>
        <v/>
      </c>
      <c r="R39" s="47" t="str">
        <f aca="false">IF($P39="Y",INDEX(Matrix!$C$14:$G$18,MATCH($D39,Matrix!$A$14:$A$18,0),$O39),IF($P39="N",0,""))</f>
        <v/>
      </c>
      <c r="S39" s="47" t="str">
        <f aca="false">IF($P39="Y",IF(AND(ISNUMBER($G39),$G39&gt;=0,$G39&lt;=1),$G39,$R39),IF($P39="N",0,""))</f>
        <v/>
      </c>
      <c r="T39" s="48" t="str">
        <f aca="false">IF($P39&lt;&gt;"Y",IF($P39="N",0,""),IF(ProrateMethod="None",1,IF($C39&lt;=PeriodStart,1,IF(ProrateMethod="Daily",MAX(0,MIN(1,(PeriodEnd-$C39+1)/(PeriodEnd-PeriodStart+1))),MAX(0,MIN(1,((YEAR(PeriodEnd)-YEAR($C39))*12+MONTH(PeriodEnd)-MONTH($C39)+1-IF(DAY($C39)&gt;MonthCutDay,1,0))/PeriodMonths))))))</f>
        <v/>
      </c>
      <c r="U39" s="47" t="str">
        <f aca="false">IF($P39="","",$S39*$T39)</f>
        <v/>
      </c>
      <c r="V39" s="49" t="str">
        <f aca="false">IF($P39="","",IF(ISNUMBER($E39),$E39,0)*$R39)</f>
        <v/>
      </c>
      <c r="W39" s="49" t="str">
        <f aca="false">IF($P39="","",IF(ISNUMBER($E39),$E39,0)*$S39)</f>
        <v/>
      </c>
      <c r="X39" s="49" t="str">
        <f aca="false">IF($P39="","",IF(ISNUMBER($E39),$E39,0)*$U39)</f>
        <v/>
      </c>
      <c r="Y39" s="49" t="str">
        <f aca="false">IF($P39="","",IF(AND(CapAtMax="Yes",$P39="Y"),MAX(0,MIN($X39,$K39-$E39)),$X39))</f>
        <v/>
      </c>
      <c r="Z39" s="41" t="str">
        <f aca="false">IF(OR($P39="",NOT(ISNUMBER($E39))),"",$E39+$Y39)</f>
        <v/>
      </c>
      <c r="AA39" s="42" t="str">
        <f aca="false">IF(AND(ISNUMBER(Z39),ISNUMBER(J39)),IF(J39&gt;0,Z39/J39,""),"")</f>
        <v/>
      </c>
      <c r="AB39" s="46" t="str">
        <f aca="false">IF($P39="","",TRIM(IF(AND($P39="Y",ISNUMBER(K39),ISNUMBER(Z39)),IF(Z39&gt;K39,"Above range max. ",""),"")&amp;IF(AND($P39="Y",ISNUMBER($X39),ISNUMBER($Y39)),IF($X39-$Y39&gt;0.005,"Capped at range max. ",""),"")&amp;IF(AND(AND(ISNUMBER($G39),$G39&gt;=0,$G39&lt;=1),$H39=""),"Override needs a reason. ","")&amp;IF(AND(AND(ISNUMBER($G39),$G39&gt;=0,$G39&lt;=1),$P39&lt;&gt;"Y"),"Override ignored. ","")&amp;IF(AND($G39&lt;&gt;"",NOT(AND(ISNUMBER($G39),$G39&gt;=0,$G39&lt;=1))),"Override not valid, ignored. ","")&amp;IF(AND($A39&lt;&gt;"",COUNTIF($A$5:$A$254,$A39)&gt;1),"Duplicate ID. ","")))</f>
        <v/>
      </c>
    </row>
    <row r="40" customFormat="false" ht="15" hidden="false" customHeight="false" outlineLevel="0" collapsed="false">
      <c r="A40" s="18"/>
      <c r="B40" s="38"/>
      <c r="C40" s="39"/>
      <c r="D40" s="38"/>
      <c r="E40" s="19"/>
      <c r="F40" s="38"/>
      <c r="G40" s="40"/>
      <c r="H40" s="18"/>
      <c r="I40" s="41" t="str">
        <f aca="false">IF(COUNTA($A40:$F40)=0,"",IF($B40="","",IFERROR(INDEX(Ranges!$B$5:$B$16,MATCH($B40,Ranges!$A$5:$A$16,0)),"")))</f>
        <v/>
      </c>
      <c r="J40" s="41" t="str">
        <f aca="false">IF(COUNTA($A40:$F40)=0,"",IF($B40="","",IFERROR(INDEX(Ranges!$C$5:$C$16,MATCH($B40,Ranges!$A$5:$A$16,0)),"")))</f>
        <v/>
      </c>
      <c r="K40" s="41" t="str">
        <f aca="false">IF(COUNTA($A40:$F40)=0,"",IF($B40="","",IFERROR(INDEX(Ranges!$D$5:$D$16,MATCH($B40,Ranges!$A$5:$A$16,0)),"")))</f>
        <v/>
      </c>
      <c r="L40" s="42" t="str">
        <f aca="false">IF(OR(NOT(ISNUMBER($E40)),NOT(ISNUMBER(J40))),"",IF(J40&gt;0,$E40/J40,""))</f>
        <v/>
      </c>
      <c r="M40" s="43" t="str">
        <f aca="false">IF(OR(NOT(ISNUMBER($E40)),NOT(ISNUMBER(I40)),NOT(ISNUMBER(K40))),"",IF(K40&gt;I40,($E40-I40)/(K40-I40),""))</f>
        <v/>
      </c>
      <c r="N40" s="42" t="str">
        <f aca="false">IF(Basis="Compa-ratio",L40,M40)</f>
        <v/>
      </c>
      <c r="O40" s="44" t="str">
        <f aca="false">IF(ISNUMBER(N40),IFERROR(MATCH(N40,Matrix!$C$9:$G$9,1),1),"")</f>
        <v/>
      </c>
      <c r="P40" s="45" t="str">
        <f aca="false">IF(COUNTA($A40:$F40)=0,"",IF(Q40="","Y","N"))</f>
        <v/>
      </c>
      <c r="Q40" s="46" t="str">
        <f aca="false">IF(COUNTA($A40:$F40)=0,"",IF($A40="","ID missing",IF(TRIM($F40)="Exclude","Excluded by plan status",IF(AND(TRIM($F40)&lt;&gt;"",TRIM($F40)&lt;&gt;"Include"),"Plan status not valid (use Include or Exclude)",IF(NOT(ISNUMBER($C40)),"Hire date missing or not a date",IF($C40&gt;Cutoff,"Hired after cutoff",IF(NOT(ISNUMBER($E40)),"Salary missing or not a number",IF($E40&lt;=0,"Salary missing or not a number",IF(OR(NOT(ISNUMBER(I40)),NOT(ISNUMBER(J40)),NOT(ISNUMBER(K40))),"Grade not found in Ranges",IF($D40="","Rating missing",IF($D40="NR","Not rated (NR)",IF(NOT(ISNUMBER(MATCH($D40,Matrix!$A$14:$A$18,0))),"Rating not valid (use 1 to 5 or NR)",IF(NOT(ISNUMBER(O40)),"Band not found (check range and limits)","")))))))))))))</f>
        <v/>
      </c>
      <c r="R40" s="47" t="str">
        <f aca="false">IF($P40="Y",INDEX(Matrix!$C$14:$G$18,MATCH($D40,Matrix!$A$14:$A$18,0),$O40),IF($P40="N",0,""))</f>
        <v/>
      </c>
      <c r="S40" s="47" t="str">
        <f aca="false">IF($P40="Y",IF(AND(ISNUMBER($G40),$G40&gt;=0,$G40&lt;=1),$G40,$R40),IF($P40="N",0,""))</f>
        <v/>
      </c>
      <c r="T40" s="48" t="str">
        <f aca="false">IF($P40&lt;&gt;"Y",IF($P40="N",0,""),IF(ProrateMethod="None",1,IF($C40&lt;=PeriodStart,1,IF(ProrateMethod="Daily",MAX(0,MIN(1,(PeriodEnd-$C40+1)/(PeriodEnd-PeriodStart+1))),MAX(0,MIN(1,((YEAR(PeriodEnd)-YEAR($C40))*12+MONTH(PeriodEnd)-MONTH($C40)+1-IF(DAY($C40)&gt;MonthCutDay,1,0))/PeriodMonths))))))</f>
        <v/>
      </c>
      <c r="U40" s="47" t="str">
        <f aca="false">IF($P40="","",$S40*$T40)</f>
        <v/>
      </c>
      <c r="V40" s="49" t="str">
        <f aca="false">IF($P40="","",IF(ISNUMBER($E40),$E40,0)*$R40)</f>
        <v/>
      </c>
      <c r="W40" s="49" t="str">
        <f aca="false">IF($P40="","",IF(ISNUMBER($E40),$E40,0)*$S40)</f>
        <v/>
      </c>
      <c r="X40" s="49" t="str">
        <f aca="false">IF($P40="","",IF(ISNUMBER($E40),$E40,0)*$U40)</f>
        <v/>
      </c>
      <c r="Y40" s="49" t="str">
        <f aca="false">IF($P40="","",IF(AND(CapAtMax="Yes",$P40="Y"),MAX(0,MIN($X40,$K40-$E40)),$X40))</f>
        <v/>
      </c>
      <c r="Z40" s="41" t="str">
        <f aca="false">IF(OR($P40="",NOT(ISNUMBER($E40))),"",$E40+$Y40)</f>
        <v/>
      </c>
      <c r="AA40" s="42" t="str">
        <f aca="false">IF(AND(ISNUMBER(Z40),ISNUMBER(J40)),IF(J40&gt;0,Z40/J40,""),"")</f>
        <v/>
      </c>
      <c r="AB40" s="46" t="str">
        <f aca="false">IF($P40="","",TRIM(IF(AND($P40="Y",ISNUMBER(K40),ISNUMBER(Z40)),IF(Z40&gt;K40,"Above range max. ",""),"")&amp;IF(AND($P40="Y",ISNUMBER($X40),ISNUMBER($Y40)),IF($X40-$Y40&gt;0.005,"Capped at range max. ",""),"")&amp;IF(AND(AND(ISNUMBER($G40),$G40&gt;=0,$G40&lt;=1),$H40=""),"Override needs a reason. ","")&amp;IF(AND(AND(ISNUMBER($G40),$G40&gt;=0,$G40&lt;=1),$P40&lt;&gt;"Y"),"Override ignored. ","")&amp;IF(AND($G40&lt;&gt;"",NOT(AND(ISNUMBER($G40),$G40&gt;=0,$G40&lt;=1))),"Override not valid, ignored. ","")&amp;IF(AND($A40&lt;&gt;"",COUNTIF($A$5:$A$254,$A40)&gt;1),"Duplicate ID. ","")))</f>
        <v/>
      </c>
    </row>
    <row r="41" customFormat="false" ht="15" hidden="false" customHeight="false" outlineLevel="0" collapsed="false">
      <c r="A41" s="18"/>
      <c r="B41" s="38"/>
      <c r="C41" s="39"/>
      <c r="D41" s="38"/>
      <c r="E41" s="19"/>
      <c r="F41" s="38"/>
      <c r="G41" s="40"/>
      <c r="H41" s="18"/>
      <c r="I41" s="41" t="str">
        <f aca="false">IF(COUNTA($A41:$F41)=0,"",IF($B41="","",IFERROR(INDEX(Ranges!$B$5:$B$16,MATCH($B41,Ranges!$A$5:$A$16,0)),"")))</f>
        <v/>
      </c>
      <c r="J41" s="41" t="str">
        <f aca="false">IF(COUNTA($A41:$F41)=0,"",IF($B41="","",IFERROR(INDEX(Ranges!$C$5:$C$16,MATCH($B41,Ranges!$A$5:$A$16,0)),"")))</f>
        <v/>
      </c>
      <c r="K41" s="41" t="str">
        <f aca="false">IF(COUNTA($A41:$F41)=0,"",IF($B41="","",IFERROR(INDEX(Ranges!$D$5:$D$16,MATCH($B41,Ranges!$A$5:$A$16,0)),"")))</f>
        <v/>
      </c>
      <c r="L41" s="42" t="str">
        <f aca="false">IF(OR(NOT(ISNUMBER($E41)),NOT(ISNUMBER(J41))),"",IF(J41&gt;0,$E41/J41,""))</f>
        <v/>
      </c>
      <c r="M41" s="43" t="str">
        <f aca="false">IF(OR(NOT(ISNUMBER($E41)),NOT(ISNUMBER(I41)),NOT(ISNUMBER(K41))),"",IF(K41&gt;I41,($E41-I41)/(K41-I41),""))</f>
        <v/>
      </c>
      <c r="N41" s="42" t="str">
        <f aca="false">IF(Basis="Compa-ratio",L41,M41)</f>
        <v/>
      </c>
      <c r="O41" s="44" t="str">
        <f aca="false">IF(ISNUMBER(N41),IFERROR(MATCH(N41,Matrix!$C$9:$G$9,1),1),"")</f>
        <v/>
      </c>
      <c r="P41" s="45" t="str">
        <f aca="false">IF(COUNTA($A41:$F41)=0,"",IF(Q41="","Y","N"))</f>
        <v/>
      </c>
      <c r="Q41" s="46" t="str">
        <f aca="false">IF(COUNTA($A41:$F41)=0,"",IF($A41="","ID missing",IF(TRIM($F41)="Exclude","Excluded by plan status",IF(AND(TRIM($F41)&lt;&gt;"",TRIM($F41)&lt;&gt;"Include"),"Plan status not valid (use Include or Exclude)",IF(NOT(ISNUMBER($C41)),"Hire date missing or not a date",IF($C41&gt;Cutoff,"Hired after cutoff",IF(NOT(ISNUMBER($E41)),"Salary missing or not a number",IF($E41&lt;=0,"Salary missing or not a number",IF(OR(NOT(ISNUMBER(I41)),NOT(ISNUMBER(J41)),NOT(ISNUMBER(K41))),"Grade not found in Ranges",IF($D41="","Rating missing",IF($D41="NR","Not rated (NR)",IF(NOT(ISNUMBER(MATCH($D41,Matrix!$A$14:$A$18,0))),"Rating not valid (use 1 to 5 or NR)",IF(NOT(ISNUMBER(O41)),"Band not found (check range and limits)","")))))))))))))</f>
        <v/>
      </c>
      <c r="R41" s="47" t="str">
        <f aca="false">IF($P41="Y",INDEX(Matrix!$C$14:$G$18,MATCH($D41,Matrix!$A$14:$A$18,0),$O41),IF($P41="N",0,""))</f>
        <v/>
      </c>
      <c r="S41" s="47" t="str">
        <f aca="false">IF($P41="Y",IF(AND(ISNUMBER($G41),$G41&gt;=0,$G41&lt;=1),$G41,$R41),IF($P41="N",0,""))</f>
        <v/>
      </c>
      <c r="T41" s="48" t="str">
        <f aca="false">IF($P41&lt;&gt;"Y",IF($P41="N",0,""),IF(ProrateMethod="None",1,IF($C41&lt;=PeriodStart,1,IF(ProrateMethod="Daily",MAX(0,MIN(1,(PeriodEnd-$C41+1)/(PeriodEnd-PeriodStart+1))),MAX(0,MIN(1,((YEAR(PeriodEnd)-YEAR($C41))*12+MONTH(PeriodEnd)-MONTH($C41)+1-IF(DAY($C41)&gt;MonthCutDay,1,0))/PeriodMonths))))))</f>
        <v/>
      </c>
      <c r="U41" s="47" t="str">
        <f aca="false">IF($P41="","",$S41*$T41)</f>
        <v/>
      </c>
      <c r="V41" s="49" t="str">
        <f aca="false">IF($P41="","",IF(ISNUMBER($E41),$E41,0)*$R41)</f>
        <v/>
      </c>
      <c r="W41" s="49" t="str">
        <f aca="false">IF($P41="","",IF(ISNUMBER($E41),$E41,0)*$S41)</f>
        <v/>
      </c>
      <c r="X41" s="49" t="str">
        <f aca="false">IF($P41="","",IF(ISNUMBER($E41),$E41,0)*$U41)</f>
        <v/>
      </c>
      <c r="Y41" s="49" t="str">
        <f aca="false">IF($P41="","",IF(AND(CapAtMax="Yes",$P41="Y"),MAX(0,MIN($X41,$K41-$E41)),$X41))</f>
        <v/>
      </c>
      <c r="Z41" s="41" t="str">
        <f aca="false">IF(OR($P41="",NOT(ISNUMBER($E41))),"",$E41+$Y41)</f>
        <v/>
      </c>
      <c r="AA41" s="42" t="str">
        <f aca="false">IF(AND(ISNUMBER(Z41),ISNUMBER(J41)),IF(J41&gt;0,Z41/J41,""),"")</f>
        <v/>
      </c>
      <c r="AB41" s="46" t="str">
        <f aca="false">IF($P41="","",TRIM(IF(AND($P41="Y",ISNUMBER(K41),ISNUMBER(Z41)),IF(Z41&gt;K41,"Above range max. ",""),"")&amp;IF(AND($P41="Y",ISNUMBER($X41),ISNUMBER($Y41)),IF($X41-$Y41&gt;0.005,"Capped at range max. ",""),"")&amp;IF(AND(AND(ISNUMBER($G41),$G41&gt;=0,$G41&lt;=1),$H41=""),"Override needs a reason. ","")&amp;IF(AND(AND(ISNUMBER($G41),$G41&gt;=0,$G41&lt;=1),$P41&lt;&gt;"Y"),"Override ignored. ","")&amp;IF(AND($G41&lt;&gt;"",NOT(AND(ISNUMBER($G41),$G41&gt;=0,$G41&lt;=1))),"Override not valid, ignored. ","")&amp;IF(AND($A41&lt;&gt;"",COUNTIF($A$5:$A$254,$A41)&gt;1),"Duplicate ID. ","")))</f>
        <v/>
      </c>
    </row>
    <row r="42" customFormat="false" ht="15" hidden="false" customHeight="false" outlineLevel="0" collapsed="false">
      <c r="A42" s="18"/>
      <c r="B42" s="38"/>
      <c r="C42" s="39"/>
      <c r="D42" s="38"/>
      <c r="E42" s="19"/>
      <c r="F42" s="38"/>
      <c r="G42" s="40"/>
      <c r="H42" s="18"/>
      <c r="I42" s="41" t="str">
        <f aca="false">IF(COUNTA($A42:$F42)=0,"",IF($B42="","",IFERROR(INDEX(Ranges!$B$5:$B$16,MATCH($B42,Ranges!$A$5:$A$16,0)),"")))</f>
        <v/>
      </c>
      <c r="J42" s="41" t="str">
        <f aca="false">IF(COUNTA($A42:$F42)=0,"",IF($B42="","",IFERROR(INDEX(Ranges!$C$5:$C$16,MATCH($B42,Ranges!$A$5:$A$16,0)),"")))</f>
        <v/>
      </c>
      <c r="K42" s="41" t="str">
        <f aca="false">IF(COUNTA($A42:$F42)=0,"",IF($B42="","",IFERROR(INDEX(Ranges!$D$5:$D$16,MATCH($B42,Ranges!$A$5:$A$16,0)),"")))</f>
        <v/>
      </c>
      <c r="L42" s="42" t="str">
        <f aca="false">IF(OR(NOT(ISNUMBER($E42)),NOT(ISNUMBER(J42))),"",IF(J42&gt;0,$E42/J42,""))</f>
        <v/>
      </c>
      <c r="M42" s="43" t="str">
        <f aca="false">IF(OR(NOT(ISNUMBER($E42)),NOT(ISNUMBER(I42)),NOT(ISNUMBER(K42))),"",IF(K42&gt;I42,($E42-I42)/(K42-I42),""))</f>
        <v/>
      </c>
      <c r="N42" s="42" t="str">
        <f aca="false">IF(Basis="Compa-ratio",L42,M42)</f>
        <v/>
      </c>
      <c r="O42" s="44" t="str">
        <f aca="false">IF(ISNUMBER(N42),IFERROR(MATCH(N42,Matrix!$C$9:$G$9,1),1),"")</f>
        <v/>
      </c>
      <c r="P42" s="45" t="str">
        <f aca="false">IF(COUNTA($A42:$F42)=0,"",IF(Q42="","Y","N"))</f>
        <v/>
      </c>
      <c r="Q42" s="46" t="str">
        <f aca="false">IF(COUNTA($A42:$F42)=0,"",IF($A42="","ID missing",IF(TRIM($F42)="Exclude","Excluded by plan status",IF(AND(TRIM($F42)&lt;&gt;"",TRIM($F42)&lt;&gt;"Include"),"Plan status not valid (use Include or Exclude)",IF(NOT(ISNUMBER($C42)),"Hire date missing or not a date",IF($C42&gt;Cutoff,"Hired after cutoff",IF(NOT(ISNUMBER($E42)),"Salary missing or not a number",IF($E42&lt;=0,"Salary missing or not a number",IF(OR(NOT(ISNUMBER(I42)),NOT(ISNUMBER(J42)),NOT(ISNUMBER(K42))),"Grade not found in Ranges",IF($D42="","Rating missing",IF($D42="NR","Not rated (NR)",IF(NOT(ISNUMBER(MATCH($D42,Matrix!$A$14:$A$18,0))),"Rating not valid (use 1 to 5 or NR)",IF(NOT(ISNUMBER(O42)),"Band not found (check range and limits)","")))))))))))))</f>
        <v/>
      </c>
      <c r="R42" s="47" t="str">
        <f aca="false">IF($P42="Y",INDEX(Matrix!$C$14:$G$18,MATCH($D42,Matrix!$A$14:$A$18,0),$O42),IF($P42="N",0,""))</f>
        <v/>
      </c>
      <c r="S42" s="47" t="str">
        <f aca="false">IF($P42="Y",IF(AND(ISNUMBER($G42),$G42&gt;=0,$G42&lt;=1),$G42,$R42),IF($P42="N",0,""))</f>
        <v/>
      </c>
      <c r="T42" s="48" t="str">
        <f aca="false">IF($P42&lt;&gt;"Y",IF($P42="N",0,""),IF(ProrateMethod="None",1,IF($C42&lt;=PeriodStart,1,IF(ProrateMethod="Daily",MAX(0,MIN(1,(PeriodEnd-$C42+1)/(PeriodEnd-PeriodStart+1))),MAX(0,MIN(1,((YEAR(PeriodEnd)-YEAR($C42))*12+MONTH(PeriodEnd)-MONTH($C42)+1-IF(DAY($C42)&gt;MonthCutDay,1,0))/PeriodMonths))))))</f>
        <v/>
      </c>
      <c r="U42" s="47" t="str">
        <f aca="false">IF($P42="","",$S42*$T42)</f>
        <v/>
      </c>
      <c r="V42" s="49" t="str">
        <f aca="false">IF($P42="","",IF(ISNUMBER($E42),$E42,0)*$R42)</f>
        <v/>
      </c>
      <c r="W42" s="49" t="str">
        <f aca="false">IF($P42="","",IF(ISNUMBER($E42),$E42,0)*$S42)</f>
        <v/>
      </c>
      <c r="X42" s="49" t="str">
        <f aca="false">IF($P42="","",IF(ISNUMBER($E42),$E42,0)*$U42)</f>
        <v/>
      </c>
      <c r="Y42" s="49" t="str">
        <f aca="false">IF($P42="","",IF(AND(CapAtMax="Yes",$P42="Y"),MAX(0,MIN($X42,$K42-$E42)),$X42))</f>
        <v/>
      </c>
      <c r="Z42" s="41" t="str">
        <f aca="false">IF(OR($P42="",NOT(ISNUMBER($E42))),"",$E42+$Y42)</f>
        <v/>
      </c>
      <c r="AA42" s="42" t="str">
        <f aca="false">IF(AND(ISNUMBER(Z42),ISNUMBER(J42)),IF(J42&gt;0,Z42/J42,""),"")</f>
        <v/>
      </c>
      <c r="AB42" s="46" t="str">
        <f aca="false">IF($P42="","",TRIM(IF(AND($P42="Y",ISNUMBER(K42),ISNUMBER(Z42)),IF(Z42&gt;K42,"Above range max. ",""),"")&amp;IF(AND($P42="Y",ISNUMBER($X42),ISNUMBER($Y42)),IF($X42-$Y42&gt;0.005,"Capped at range max. ",""),"")&amp;IF(AND(AND(ISNUMBER($G42),$G42&gt;=0,$G42&lt;=1),$H42=""),"Override needs a reason. ","")&amp;IF(AND(AND(ISNUMBER($G42),$G42&gt;=0,$G42&lt;=1),$P42&lt;&gt;"Y"),"Override ignored. ","")&amp;IF(AND($G42&lt;&gt;"",NOT(AND(ISNUMBER($G42),$G42&gt;=0,$G42&lt;=1))),"Override not valid, ignored. ","")&amp;IF(AND($A42&lt;&gt;"",COUNTIF($A$5:$A$254,$A42)&gt;1),"Duplicate ID. ","")))</f>
        <v/>
      </c>
    </row>
    <row r="43" customFormat="false" ht="15" hidden="false" customHeight="false" outlineLevel="0" collapsed="false">
      <c r="A43" s="18"/>
      <c r="B43" s="38"/>
      <c r="C43" s="39"/>
      <c r="D43" s="38"/>
      <c r="E43" s="19"/>
      <c r="F43" s="38"/>
      <c r="G43" s="40"/>
      <c r="H43" s="18"/>
      <c r="I43" s="41" t="str">
        <f aca="false">IF(COUNTA($A43:$F43)=0,"",IF($B43="","",IFERROR(INDEX(Ranges!$B$5:$B$16,MATCH($B43,Ranges!$A$5:$A$16,0)),"")))</f>
        <v/>
      </c>
      <c r="J43" s="41" t="str">
        <f aca="false">IF(COUNTA($A43:$F43)=0,"",IF($B43="","",IFERROR(INDEX(Ranges!$C$5:$C$16,MATCH($B43,Ranges!$A$5:$A$16,0)),"")))</f>
        <v/>
      </c>
      <c r="K43" s="41" t="str">
        <f aca="false">IF(COUNTA($A43:$F43)=0,"",IF($B43="","",IFERROR(INDEX(Ranges!$D$5:$D$16,MATCH($B43,Ranges!$A$5:$A$16,0)),"")))</f>
        <v/>
      </c>
      <c r="L43" s="42" t="str">
        <f aca="false">IF(OR(NOT(ISNUMBER($E43)),NOT(ISNUMBER(J43))),"",IF(J43&gt;0,$E43/J43,""))</f>
        <v/>
      </c>
      <c r="M43" s="43" t="str">
        <f aca="false">IF(OR(NOT(ISNUMBER($E43)),NOT(ISNUMBER(I43)),NOT(ISNUMBER(K43))),"",IF(K43&gt;I43,($E43-I43)/(K43-I43),""))</f>
        <v/>
      </c>
      <c r="N43" s="42" t="str">
        <f aca="false">IF(Basis="Compa-ratio",L43,M43)</f>
        <v/>
      </c>
      <c r="O43" s="44" t="str">
        <f aca="false">IF(ISNUMBER(N43),IFERROR(MATCH(N43,Matrix!$C$9:$G$9,1),1),"")</f>
        <v/>
      </c>
      <c r="P43" s="45" t="str">
        <f aca="false">IF(COUNTA($A43:$F43)=0,"",IF(Q43="","Y","N"))</f>
        <v/>
      </c>
      <c r="Q43" s="46" t="str">
        <f aca="false">IF(COUNTA($A43:$F43)=0,"",IF($A43="","ID missing",IF(TRIM($F43)="Exclude","Excluded by plan status",IF(AND(TRIM($F43)&lt;&gt;"",TRIM($F43)&lt;&gt;"Include"),"Plan status not valid (use Include or Exclude)",IF(NOT(ISNUMBER($C43)),"Hire date missing or not a date",IF($C43&gt;Cutoff,"Hired after cutoff",IF(NOT(ISNUMBER($E43)),"Salary missing or not a number",IF($E43&lt;=0,"Salary missing or not a number",IF(OR(NOT(ISNUMBER(I43)),NOT(ISNUMBER(J43)),NOT(ISNUMBER(K43))),"Grade not found in Ranges",IF($D43="","Rating missing",IF($D43="NR","Not rated (NR)",IF(NOT(ISNUMBER(MATCH($D43,Matrix!$A$14:$A$18,0))),"Rating not valid (use 1 to 5 or NR)",IF(NOT(ISNUMBER(O43)),"Band not found (check range and limits)","")))))))))))))</f>
        <v/>
      </c>
      <c r="R43" s="47" t="str">
        <f aca="false">IF($P43="Y",INDEX(Matrix!$C$14:$G$18,MATCH($D43,Matrix!$A$14:$A$18,0),$O43),IF($P43="N",0,""))</f>
        <v/>
      </c>
      <c r="S43" s="47" t="str">
        <f aca="false">IF($P43="Y",IF(AND(ISNUMBER($G43),$G43&gt;=0,$G43&lt;=1),$G43,$R43),IF($P43="N",0,""))</f>
        <v/>
      </c>
      <c r="T43" s="48" t="str">
        <f aca="false">IF($P43&lt;&gt;"Y",IF($P43="N",0,""),IF(ProrateMethod="None",1,IF($C43&lt;=PeriodStart,1,IF(ProrateMethod="Daily",MAX(0,MIN(1,(PeriodEnd-$C43+1)/(PeriodEnd-PeriodStart+1))),MAX(0,MIN(1,((YEAR(PeriodEnd)-YEAR($C43))*12+MONTH(PeriodEnd)-MONTH($C43)+1-IF(DAY($C43)&gt;MonthCutDay,1,0))/PeriodMonths))))))</f>
        <v/>
      </c>
      <c r="U43" s="47" t="str">
        <f aca="false">IF($P43="","",$S43*$T43)</f>
        <v/>
      </c>
      <c r="V43" s="49" t="str">
        <f aca="false">IF($P43="","",IF(ISNUMBER($E43),$E43,0)*$R43)</f>
        <v/>
      </c>
      <c r="W43" s="49" t="str">
        <f aca="false">IF($P43="","",IF(ISNUMBER($E43),$E43,0)*$S43)</f>
        <v/>
      </c>
      <c r="X43" s="49" t="str">
        <f aca="false">IF($P43="","",IF(ISNUMBER($E43),$E43,0)*$U43)</f>
        <v/>
      </c>
      <c r="Y43" s="49" t="str">
        <f aca="false">IF($P43="","",IF(AND(CapAtMax="Yes",$P43="Y"),MAX(0,MIN($X43,$K43-$E43)),$X43))</f>
        <v/>
      </c>
      <c r="Z43" s="41" t="str">
        <f aca="false">IF(OR($P43="",NOT(ISNUMBER($E43))),"",$E43+$Y43)</f>
        <v/>
      </c>
      <c r="AA43" s="42" t="str">
        <f aca="false">IF(AND(ISNUMBER(Z43),ISNUMBER(J43)),IF(J43&gt;0,Z43/J43,""),"")</f>
        <v/>
      </c>
      <c r="AB43" s="46" t="str">
        <f aca="false">IF($P43="","",TRIM(IF(AND($P43="Y",ISNUMBER(K43),ISNUMBER(Z43)),IF(Z43&gt;K43,"Above range max. ",""),"")&amp;IF(AND($P43="Y",ISNUMBER($X43),ISNUMBER($Y43)),IF($X43-$Y43&gt;0.005,"Capped at range max. ",""),"")&amp;IF(AND(AND(ISNUMBER($G43),$G43&gt;=0,$G43&lt;=1),$H43=""),"Override needs a reason. ","")&amp;IF(AND(AND(ISNUMBER($G43),$G43&gt;=0,$G43&lt;=1),$P43&lt;&gt;"Y"),"Override ignored. ","")&amp;IF(AND($G43&lt;&gt;"",NOT(AND(ISNUMBER($G43),$G43&gt;=0,$G43&lt;=1))),"Override not valid, ignored. ","")&amp;IF(AND($A43&lt;&gt;"",COUNTIF($A$5:$A$254,$A43)&gt;1),"Duplicate ID. ","")))</f>
        <v/>
      </c>
    </row>
    <row r="44" customFormat="false" ht="15" hidden="false" customHeight="false" outlineLevel="0" collapsed="false">
      <c r="A44" s="18"/>
      <c r="B44" s="38"/>
      <c r="C44" s="39"/>
      <c r="D44" s="38"/>
      <c r="E44" s="19"/>
      <c r="F44" s="38"/>
      <c r="G44" s="40"/>
      <c r="H44" s="18"/>
      <c r="I44" s="41" t="str">
        <f aca="false">IF(COUNTA($A44:$F44)=0,"",IF($B44="","",IFERROR(INDEX(Ranges!$B$5:$B$16,MATCH($B44,Ranges!$A$5:$A$16,0)),"")))</f>
        <v/>
      </c>
      <c r="J44" s="41" t="str">
        <f aca="false">IF(COUNTA($A44:$F44)=0,"",IF($B44="","",IFERROR(INDEX(Ranges!$C$5:$C$16,MATCH($B44,Ranges!$A$5:$A$16,0)),"")))</f>
        <v/>
      </c>
      <c r="K44" s="41" t="str">
        <f aca="false">IF(COUNTA($A44:$F44)=0,"",IF($B44="","",IFERROR(INDEX(Ranges!$D$5:$D$16,MATCH($B44,Ranges!$A$5:$A$16,0)),"")))</f>
        <v/>
      </c>
      <c r="L44" s="42" t="str">
        <f aca="false">IF(OR(NOT(ISNUMBER($E44)),NOT(ISNUMBER(J44))),"",IF(J44&gt;0,$E44/J44,""))</f>
        <v/>
      </c>
      <c r="M44" s="43" t="str">
        <f aca="false">IF(OR(NOT(ISNUMBER($E44)),NOT(ISNUMBER(I44)),NOT(ISNUMBER(K44))),"",IF(K44&gt;I44,($E44-I44)/(K44-I44),""))</f>
        <v/>
      </c>
      <c r="N44" s="42" t="str">
        <f aca="false">IF(Basis="Compa-ratio",L44,M44)</f>
        <v/>
      </c>
      <c r="O44" s="44" t="str">
        <f aca="false">IF(ISNUMBER(N44),IFERROR(MATCH(N44,Matrix!$C$9:$G$9,1),1),"")</f>
        <v/>
      </c>
      <c r="P44" s="45" t="str">
        <f aca="false">IF(COUNTA($A44:$F44)=0,"",IF(Q44="","Y","N"))</f>
        <v/>
      </c>
      <c r="Q44" s="46" t="str">
        <f aca="false">IF(COUNTA($A44:$F44)=0,"",IF($A44="","ID missing",IF(TRIM($F44)="Exclude","Excluded by plan status",IF(AND(TRIM($F44)&lt;&gt;"",TRIM($F44)&lt;&gt;"Include"),"Plan status not valid (use Include or Exclude)",IF(NOT(ISNUMBER($C44)),"Hire date missing or not a date",IF($C44&gt;Cutoff,"Hired after cutoff",IF(NOT(ISNUMBER($E44)),"Salary missing or not a number",IF($E44&lt;=0,"Salary missing or not a number",IF(OR(NOT(ISNUMBER(I44)),NOT(ISNUMBER(J44)),NOT(ISNUMBER(K44))),"Grade not found in Ranges",IF($D44="","Rating missing",IF($D44="NR","Not rated (NR)",IF(NOT(ISNUMBER(MATCH($D44,Matrix!$A$14:$A$18,0))),"Rating not valid (use 1 to 5 or NR)",IF(NOT(ISNUMBER(O44)),"Band not found (check range and limits)","")))))))))))))</f>
        <v/>
      </c>
      <c r="R44" s="47" t="str">
        <f aca="false">IF($P44="Y",INDEX(Matrix!$C$14:$G$18,MATCH($D44,Matrix!$A$14:$A$18,0),$O44),IF($P44="N",0,""))</f>
        <v/>
      </c>
      <c r="S44" s="47" t="str">
        <f aca="false">IF($P44="Y",IF(AND(ISNUMBER($G44),$G44&gt;=0,$G44&lt;=1),$G44,$R44),IF($P44="N",0,""))</f>
        <v/>
      </c>
      <c r="T44" s="48" t="str">
        <f aca="false">IF($P44&lt;&gt;"Y",IF($P44="N",0,""),IF(ProrateMethod="None",1,IF($C44&lt;=PeriodStart,1,IF(ProrateMethod="Daily",MAX(0,MIN(1,(PeriodEnd-$C44+1)/(PeriodEnd-PeriodStart+1))),MAX(0,MIN(1,((YEAR(PeriodEnd)-YEAR($C44))*12+MONTH(PeriodEnd)-MONTH($C44)+1-IF(DAY($C44)&gt;MonthCutDay,1,0))/PeriodMonths))))))</f>
        <v/>
      </c>
      <c r="U44" s="47" t="str">
        <f aca="false">IF($P44="","",$S44*$T44)</f>
        <v/>
      </c>
      <c r="V44" s="49" t="str">
        <f aca="false">IF($P44="","",IF(ISNUMBER($E44),$E44,0)*$R44)</f>
        <v/>
      </c>
      <c r="W44" s="49" t="str">
        <f aca="false">IF($P44="","",IF(ISNUMBER($E44),$E44,0)*$S44)</f>
        <v/>
      </c>
      <c r="X44" s="49" t="str">
        <f aca="false">IF($P44="","",IF(ISNUMBER($E44),$E44,0)*$U44)</f>
        <v/>
      </c>
      <c r="Y44" s="49" t="str">
        <f aca="false">IF($P44="","",IF(AND(CapAtMax="Yes",$P44="Y"),MAX(0,MIN($X44,$K44-$E44)),$X44))</f>
        <v/>
      </c>
      <c r="Z44" s="41" t="str">
        <f aca="false">IF(OR($P44="",NOT(ISNUMBER($E44))),"",$E44+$Y44)</f>
        <v/>
      </c>
      <c r="AA44" s="42" t="str">
        <f aca="false">IF(AND(ISNUMBER(Z44),ISNUMBER(J44)),IF(J44&gt;0,Z44/J44,""),"")</f>
        <v/>
      </c>
      <c r="AB44" s="46" t="str">
        <f aca="false">IF($P44="","",TRIM(IF(AND($P44="Y",ISNUMBER(K44),ISNUMBER(Z44)),IF(Z44&gt;K44,"Above range max. ",""),"")&amp;IF(AND($P44="Y",ISNUMBER($X44),ISNUMBER($Y44)),IF($X44-$Y44&gt;0.005,"Capped at range max. ",""),"")&amp;IF(AND(AND(ISNUMBER($G44),$G44&gt;=0,$G44&lt;=1),$H44=""),"Override needs a reason. ","")&amp;IF(AND(AND(ISNUMBER($G44),$G44&gt;=0,$G44&lt;=1),$P44&lt;&gt;"Y"),"Override ignored. ","")&amp;IF(AND($G44&lt;&gt;"",NOT(AND(ISNUMBER($G44),$G44&gt;=0,$G44&lt;=1))),"Override not valid, ignored. ","")&amp;IF(AND($A44&lt;&gt;"",COUNTIF($A$5:$A$254,$A44)&gt;1),"Duplicate ID. ","")))</f>
        <v/>
      </c>
    </row>
    <row r="45" customFormat="false" ht="15" hidden="false" customHeight="false" outlineLevel="0" collapsed="false">
      <c r="A45" s="18"/>
      <c r="B45" s="38"/>
      <c r="C45" s="39"/>
      <c r="D45" s="38"/>
      <c r="E45" s="19"/>
      <c r="F45" s="38"/>
      <c r="G45" s="40"/>
      <c r="H45" s="18"/>
      <c r="I45" s="41" t="str">
        <f aca="false">IF(COUNTA($A45:$F45)=0,"",IF($B45="","",IFERROR(INDEX(Ranges!$B$5:$B$16,MATCH($B45,Ranges!$A$5:$A$16,0)),"")))</f>
        <v/>
      </c>
      <c r="J45" s="41" t="str">
        <f aca="false">IF(COUNTA($A45:$F45)=0,"",IF($B45="","",IFERROR(INDEX(Ranges!$C$5:$C$16,MATCH($B45,Ranges!$A$5:$A$16,0)),"")))</f>
        <v/>
      </c>
      <c r="K45" s="41" t="str">
        <f aca="false">IF(COUNTA($A45:$F45)=0,"",IF($B45="","",IFERROR(INDEX(Ranges!$D$5:$D$16,MATCH($B45,Ranges!$A$5:$A$16,0)),"")))</f>
        <v/>
      </c>
      <c r="L45" s="42" t="str">
        <f aca="false">IF(OR(NOT(ISNUMBER($E45)),NOT(ISNUMBER(J45))),"",IF(J45&gt;0,$E45/J45,""))</f>
        <v/>
      </c>
      <c r="M45" s="43" t="str">
        <f aca="false">IF(OR(NOT(ISNUMBER($E45)),NOT(ISNUMBER(I45)),NOT(ISNUMBER(K45))),"",IF(K45&gt;I45,($E45-I45)/(K45-I45),""))</f>
        <v/>
      </c>
      <c r="N45" s="42" t="str">
        <f aca="false">IF(Basis="Compa-ratio",L45,M45)</f>
        <v/>
      </c>
      <c r="O45" s="44" t="str">
        <f aca="false">IF(ISNUMBER(N45),IFERROR(MATCH(N45,Matrix!$C$9:$G$9,1),1),"")</f>
        <v/>
      </c>
      <c r="P45" s="45" t="str">
        <f aca="false">IF(COUNTA($A45:$F45)=0,"",IF(Q45="","Y","N"))</f>
        <v/>
      </c>
      <c r="Q45" s="46" t="str">
        <f aca="false">IF(COUNTA($A45:$F45)=0,"",IF($A45="","ID missing",IF(TRIM($F45)="Exclude","Excluded by plan status",IF(AND(TRIM($F45)&lt;&gt;"",TRIM($F45)&lt;&gt;"Include"),"Plan status not valid (use Include or Exclude)",IF(NOT(ISNUMBER($C45)),"Hire date missing or not a date",IF($C45&gt;Cutoff,"Hired after cutoff",IF(NOT(ISNUMBER($E45)),"Salary missing or not a number",IF($E45&lt;=0,"Salary missing or not a number",IF(OR(NOT(ISNUMBER(I45)),NOT(ISNUMBER(J45)),NOT(ISNUMBER(K45))),"Grade not found in Ranges",IF($D45="","Rating missing",IF($D45="NR","Not rated (NR)",IF(NOT(ISNUMBER(MATCH($D45,Matrix!$A$14:$A$18,0))),"Rating not valid (use 1 to 5 or NR)",IF(NOT(ISNUMBER(O45)),"Band not found (check range and limits)","")))))))))))))</f>
        <v/>
      </c>
      <c r="R45" s="47" t="str">
        <f aca="false">IF($P45="Y",INDEX(Matrix!$C$14:$G$18,MATCH($D45,Matrix!$A$14:$A$18,0),$O45),IF($P45="N",0,""))</f>
        <v/>
      </c>
      <c r="S45" s="47" t="str">
        <f aca="false">IF($P45="Y",IF(AND(ISNUMBER($G45),$G45&gt;=0,$G45&lt;=1),$G45,$R45),IF($P45="N",0,""))</f>
        <v/>
      </c>
      <c r="T45" s="48" t="str">
        <f aca="false">IF($P45&lt;&gt;"Y",IF($P45="N",0,""),IF(ProrateMethod="None",1,IF($C45&lt;=PeriodStart,1,IF(ProrateMethod="Daily",MAX(0,MIN(1,(PeriodEnd-$C45+1)/(PeriodEnd-PeriodStart+1))),MAX(0,MIN(1,((YEAR(PeriodEnd)-YEAR($C45))*12+MONTH(PeriodEnd)-MONTH($C45)+1-IF(DAY($C45)&gt;MonthCutDay,1,0))/PeriodMonths))))))</f>
        <v/>
      </c>
      <c r="U45" s="47" t="str">
        <f aca="false">IF($P45="","",$S45*$T45)</f>
        <v/>
      </c>
      <c r="V45" s="49" t="str">
        <f aca="false">IF($P45="","",IF(ISNUMBER($E45),$E45,0)*$R45)</f>
        <v/>
      </c>
      <c r="W45" s="49" t="str">
        <f aca="false">IF($P45="","",IF(ISNUMBER($E45),$E45,0)*$S45)</f>
        <v/>
      </c>
      <c r="X45" s="49" t="str">
        <f aca="false">IF($P45="","",IF(ISNUMBER($E45),$E45,0)*$U45)</f>
        <v/>
      </c>
      <c r="Y45" s="49" t="str">
        <f aca="false">IF($P45="","",IF(AND(CapAtMax="Yes",$P45="Y"),MAX(0,MIN($X45,$K45-$E45)),$X45))</f>
        <v/>
      </c>
      <c r="Z45" s="41" t="str">
        <f aca="false">IF(OR($P45="",NOT(ISNUMBER($E45))),"",$E45+$Y45)</f>
        <v/>
      </c>
      <c r="AA45" s="42" t="str">
        <f aca="false">IF(AND(ISNUMBER(Z45),ISNUMBER(J45)),IF(J45&gt;0,Z45/J45,""),"")</f>
        <v/>
      </c>
      <c r="AB45" s="46" t="str">
        <f aca="false">IF($P45="","",TRIM(IF(AND($P45="Y",ISNUMBER(K45),ISNUMBER(Z45)),IF(Z45&gt;K45,"Above range max. ",""),"")&amp;IF(AND($P45="Y",ISNUMBER($X45),ISNUMBER($Y45)),IF($X45-$Y45&gt;0.005,"Capped at range max. ",""),"")&amp;IF(AND(AND(ISNUMBER($G45),$G45&gt;=0,$G45&lt;=1),$H45=""),"Override needs a reason. ","")&amp;IF(AND(AND(ISNUMBER($G45),$G45&gt;=0,$G45&lt;=1),$P45&lt;&gt;"Y"),"Override ignored. ","")&amp;IF(AND($G45&lt;&gt;"",NOT(AND(ISNUMBER($G45),$G45&gt;=0,$G45&lt;=1))),"Override not valid, ignored. ","")&amp;IF(AND($A45&lt;&gt;"",COUNTIF($A$5:$A$254,$A45)&gt;1),"Duplicate ID. ","")))</f>
        <v/>
      </c>
    </row>
    <row r="46" customFormat="false" ht="15" hidden="false" customHeight="false" outlineLevel="0" collapsed="false">
      <c r="A46" s="18"/>
      <c r="B46" s="38"/>
      <c r="C46" s="39"/>
      <c r="D46" s="38"/>
      <c r="E46" s="19"/>
      <c r="F46" s="38"/>
      <c r="G46" s="40"/>
      <c r="H46" s="18"/>
      <c r="I46" s="41" t="str">
        <f aca="false">IF(COUNTA($A46:$F46)=0,"",IF($B46="","",IFERROR(INDEX(Ranges!$B$5:$B$16,MATCH($B46,Ranges!$A$5:$A$16,0)),"")))</f>
        <v/>
      </c>
      <c r="J46" s="41" t="str">
        <f aca="false">IF(COUNTA($A46:$F46)=0,"",IF($B46="","",IFERROR(INDEX(Ranges!$C$5:$C$16,MATCH($B46,Ranges!$A$5:$A$16,0)),"")))</f>
        <v/>
      </c>
      <c r="K46" s="41" t="str">
        <f aca="false">IF(COUNTA($A46:$F46)=0,"",IF($B46="","",IFERROR(INDEX(Ranges!$D$5:$D$16,MATCH($B46,Ranges!$A$5:$A$16,0)),"")))</f>
        <v/>
      </c>
      <c r="L46" s="42" t="str">
        <f aca="false">IF(OR(NOT(ISNUMBER($E46)),NOT(ISNUMBER(J46))),"",IF(J46&gt;0,$E46/J46,""))</f>
        <v/>
      </c>
      <c r="M46" s="43" t="str">
        <f aca="false">IF(OR(NOT(ISNUMBER($E46)),NOT(ISNUMBER(I46)),NOT(ISNUMBER(K46))),"",IF(K46&gt;I46,($E46-I46)/(K46-I46),""))</f>
        <v/>
      </c>
      <c r="N46" s="42" t="str">
        <f aca="false">IF(Basis="Compa-ratio",L46,M46)</f>
        <v/>
      </c>
      <c r="O46" s="44" t="str">
        <f aca="false">IF(ISNUMBER(N46),IFERROR(MATCH(N46,Matrix!$C$9:$G$9,1),1),"")</f>
        <v/>
      </c>
      <c r="P46" s="45" t="str">
        <f aca="false">IF(COUNTA($A46:$F46)=0,"",IF(Q46="","Y","N"))</f>
        <v/>
      </c>
      <c r="Q46" s="46" t="str">
        <f aca="false">IF(COUNTA($A46:$F46)=0,"",IF($A46="","ID missing",IF(TRIM($F46)="Exclude","Excluded by plan status",IF(AND(TRIM($F46)&lt;&gt;"",TRIM($F46)&lt;&gt;"Include"),"Plan status not valid (use Include or Exclude)",IF(NOT(ISNUMBER($C46)),"Hire date missing or not a date",IF($C46&gt;Cutoff,"Hired after cutoff",IF(NOT(ISNUMBER($E46)),"Salary missing or not a number",IF($E46&lt;=0,"Salary missing or not a number",IF(OR(NOT(ISNUMBER(I46)),NOT(ISNUMBER(J46)),NOT(ISNUMBER(K46))),"Grade not found in Ranges",IF($D46="","Rating missing",IF($D46="NR","Not rated (NR)",IF(NOT(ISNUMBER(MATCH($D46,Matrix!$A$14:$A$18,0))),"Rating not valid (use 1 to 5 or NR)",IF(NOT(ISNUMBER(O46)),"Band not found (check range and limits)","")))))))))))))</f>
        <v/>
      </c>
      <c r="R46" s="47" t="str">
        <f aca="false">IF($P46="Y",INDEX(Matrix!$C$14:$G$18,MATCH($D46,Matrix!$A$14:$A$18,0),$O46),IF($P46="N",0,""))</f>
        <v/>
      </c>
      <c r="S46" s="47" t="str">
        <f aca="false">IF($P46="Y",IF(AND(ISNUMBER($G46),$G46&gt;=0,$G46&lt;=1),$G46,$R46),IF($P46="N",0,""))</f>
        <v/>
      </c>
      <c r="T46" s="48" t="str">
        <f aca="false">IF($P46&lt;&gt;"Y",IF($P46="N",0,""),IF(ProrateMethod="None",1,IF($C46&lt;=PeriodStart,1,IF(ProrateMethod="Daily",MAX(0,MIN(1,(PeriodEnd-$C46+1)/(PeriodEnd-PeriodStart+1))),MAX(0,MIN(1,((YEAR(PeriodEnd)-YEAR($C46))*12+MONTH(PeriodEnd)-MONTH($C46)+1-IF(DAY($C46)&gt;MonthCutDay,1,0))/PeriodMonths))))))</f>
        <v/>
      </c>
      <c r="U46" s="47" t="str">
        <f aca="false">IF($P46="","",$S46*$T46)</f>
        <v/>
      </c>
      <c r="V46" s="49" t="str">
        <f aca="false">IF($P46="","",IF(ISNUMBER($E46),$E46,0)*$R46)</f>
        <v/>
      </c>
      <c r="W46" s="49" t="str">
        <f aca="false">IF($P46="","",IF(ISNUMBER($E46),$E46,0)*$S46)</f>
        <v/>
      </c>
      <c r="X46" s="49" t="str">
        <f aca="false">IF($P46="","",IF(ISNUMBER($E46),$E46,0)*$U46)</f>
        <v/>
      </c>
      <c r="Y46" s="49" t="str">
        <f aca="false">IF($P46="","",IF(AND(CapAtMax="Yes",$P46="Y"),MAX(0,MIN($X46,$K46-$E46)),$X46))</f>
        <v/>
      </c>
      <c r="Z46" s="41" t="str">
        <f aca="false">IF(OR($P46="",NOT(ISNUMBER($E46))),"",$E46+$Y46)</f>
        <v/>
      </c>
      <c r="AA46" s="42" t="str">
        <f aca="false">IF(AND(ISNUMBER(Z46),ISNUMBER(J46)),IF(J46&gt;0,Z46/J46,""),"")</f>
        <v/>
      </c>
      <c r="AB46" s="46" t="str">
        <f aca="false">IF($P46="","",TRIM(IF(AND($P46="Y",ISNUMBER(K46),ISNUMBER(Z46)),IF(Z46&gt;K46,"Above range max. ",""),"")&amp;IF(AND($P46="Y",ISNUMBER($X46),ISNUMBER($Y46)),IF($X46-$Y46&gt;0.005,"Capped at range max. ",""),"")&amp;IF(AND(AND(ISNUMBER($G46),$G46&gt;=0,$G46&lt;=1),$H46=""),"Override needs a reason. ","")&amp;IF(AND(AND(ISNUMBER($G46),$G46&gt;=0,$G46&lt;=1),$P46&lt;&gt;"Y"),"Override ignored. ","")&amp;IF(AND($G46&lt;&gt;"",NOT(AND(ISNUMBER($G46),$G46&gt;=0,$G46&lt;=1))),"Override not valid, ignored. ","")&amp;IF(AND($A46&lt;&gt;"",COUNTIF($A$5:$A$254,$A46)&gt;1),"Duplicate ID. ","")))</f>
        <v/>
      </c>
    </row>
    <row r="47" customFormat="false" ht="15" hidden="false" customHeight="false" outlineLevel="0" collapsed="false">
      <c r="A47" s="18"/>
      <c r="B47" s="38"/>
      <c r="C47" s="39"/>
      <c r="D47" s="38"/>
      <c r="E47" s="19"/>
      <c r="F47" s="38"/>
      <c r="G47" s="40"/>
      <c r="H47" s="18"/>
      <c r="I47" s="41" t="str">
        <f aca="false">IF(COUNTA($A47:$F47)=0,"",IF($B47="","",IFERROR(INDEX(Ranges!$B$5:$B$16,MATCH($B47,Ranges!$A$5:$A$16,0)),"")))</f>
        <v/>
      </c>
      <c r="J47" s="41" t="str">
        <f aca="false">IF(COUNTA($A47:$F47)=0,"",IF($B47="","",IFERROR(INDEX(Ranges!$C$5:$C$16,MATCH($B47,Ranges!$A$5:$A$16,0)),"")))</f>
        <v/>
      </c>
      <c r="K47" s="41" t="str">
        <f aca="false">IF(COUNTA($A47:$F47)=0,"",IF($B47="","",IFERROR(INDEX(Ranges!$D$5:$D$16,MATCH($B47,Ranges!$A$5:$A$16,0)),"")))</f>
        <v/>
      </c>
      <c r="L47" s="42" t="str">
        <f aca="false">IF(OR(NOT(ISNUMBER($E47)),NOT(ISNUMBER(J47))),"",IF(J47&gt;0,$E47/J47,""))</f>
        <v/>
      </c>
      <c r="M47" s="43" t="str">
        <f aca="false">IF(OR(NOT(ISNUMBER($E47)),NOT(ISNUMBER(I47)),NOT(ISNUMBER(K47))),"",IF(K47&gt;I47,($E47-I47)/(K47-I47),""))</f>
        <v/>
      </c>
      <c r="N47" s="42" t="str">
        <f aca="false">IF(Basis="Compa-ratio",L47,M47)</f>
        <v/>
      </c>
      <c r="O47" s="44" t="str">
        <f aca="false">IF(ISNUMBER(N47),IFERROR(MATCH(N47,Matrix!$C$9:$G$9,1),1),"")</f>
        <v/>
      </c>
      <c r="P47" s="45" t="str">
        <f aca="false">IF(COUNTA($A47:$F47)=0,"",IF(Q47="","Y","N"))</f>
        <v/>
      </c>
      <c r="Q47" s="46" t="str">
        <f aca="false">IF(COUNTA($A47:$F47)=0,"",IF($A47="","ID missing",IF(TRIM($F47)="Exclude","Excluded by plan status",IF(AND(TRIM($F47)&lt;&gt;"",TRIM($F47)&lt;&gt;"Include"),"Plan status not valid (use Include or Exclude)",IF(NOT(ISNUMBER($C47)),"Hire date missing or not a date",IF($C47&gt;Cutoff,"Hired after cutoff",IF(NOT(ISNUMBER($E47)),"Salary missing or not a number",IF($E47&lt;=0,"Salary missing or not a number",IF(OR(NOT(ISNUMBER(I47)),NOT(ISNUMBER(J47)),NOT(ISNUMBER(K47))),"Grade not found in Ranges",IF($D47="","Rating missing",IF($D47="NR","Not rated (NR)",IF(NOT(ISNUMBER(MATCH($D47,Matrix!$A$14:$A$18,0))),"Rating not valid (use 1 to 5 or NR)",IF(NOT(ISNUMBER(O47)),"Band not found (check range and limits)","")))))))))))))</f>
        <v/>
      </c>
      <c r="R47" s="47" t="str">
        <f aca="false">IF($P47="Y",INDEX(Matrix!$C$14:$G$18,MATCH($D47,Matrix!$A$14:$A$18,0),$O47),IF($P47="N",0,""))</f>
        <v/>
      </c>
      <c r="S47" s="47" t="str">
        <f aca="false">IF($P47="Y",IF(AND(ISNUMBER($G47),$G47&gt;=0,$G47&lt;=1),$G47,$R47),IF($P47="N",0,""))</f>
        <v/>
      </c>
      <c r="T47" s="48" t="str">
        <f aca="false">IF($P47&lt;&gt;"Y",IF($P47="N",0,""),IF(ProrateMethod="None",1,IF($C47&lt;=PeriodStart,1,IF(ProrateMethod="Daily",MAX(0,MIN(1,(PeriodEnd-$C47+1)/(PeriodEnd-PeriodStart+1))),MAX(0,MIN(1,((YEAR(PeriodEnd)-YEAR($C47))*12+MONTH(PeriodEnd)-MONTH($C47)+1-IF(DAY($C47)&gt;MonthCutDay,1,0))/PeriodMonths))))))</f>
        <v/>
      </c>
      <c r="U47" s="47" t="str">
        <f aca="false">IF($P47="","",$S47*$T47)</f>
        <v/>
      </c>
      <c r="V47" s="49" t="str">
        <f aca="false">IF($P47="","",IF(ISNUMBER($E47),$E47,0)*$R47)</f>
        <v/>
      </c>
      <c r="W47" s="49" t="str">
        <f aca="false">IF($P47="","",IF(ISNUMBER($E47),$E47,0)*$S47)</f>
        <v/>
      </c>
      <c r="X47" s="49" t="str">
        <f aca="false">IF($P47="","",IF(ISNUMBER($E47),$E47,0)*$U47)</f>
        <v/>
      </c>
      <c r="Y47" s="49" t="str">
        <f aca="false">IF($P47="","",IF(AND(CapAtMax="Yes",$P47="Y"),MAX(0,MIN($X47,$K47-$E47)),$X47))</f>
        <v/>
      </c>
      <c r="Z47" s="41" t="str">
        <f aca="false">IF(OR($P47="",NOT(ISNUMBER($E47))),"",$E47+$Y47)</f>
        <v/>
      </c>
      <c r="AA47" s="42" t="str">
        <f aca="false">IF(AND(ISNUMBER(Z47),ISNUMBER(J47)),IF(J47&gt;0,Z47/J47,""),"")</f>
        <v/>
      </c>
      <c r="AB47" s="46" t="str">
        <f aca="false">IF($P47="","",TRIM(IF(AND($P47="Y",ISNUMBER(K47),ISNUMBER(Z47)),IF(Z47&gt;K47,"Above range max. ",""),"")&amp;IF(AND($P47="Y",ISNUMBER($X47),ISNUMBER($Y47)),IF($X47-$Y47&gt;0.005,"Capped at range max. ",""),"")&amp;IF(AND(AND(ISNUMBER($G47),$G47&gt;=0,$G47&lt;=1),$H47=""),"Override needs a reason. ","")&amp;IF(AND(AND(ISNUMBER($G47),$G47&gt;=0,$G47&lt;=1),$P47&lt;&gt;"Y"),"Override ignored. ","")&amp;IF(AND($G47&lt;&gt;"",NOT(AND(ISNUMBER($G47),$G47&gt;=0,$G47&lt;=1))),"Override not valid, ignored. ","")&amp;IF(AND($A47&lt;&gt;"",COUNTIF($A$5:$A$254,$A47)&gt;1),"Duplicate ID. ","")))</f>
        <v/>
      </c>
    </row>
    <row r="48" customFormat="false" ht="15" hidden="false" customHeight="false" outlineLevel="0" collapsed="false">
      <c r="A48" s="18"/>
      <c r="B48" s="38"/>
      <c r="C48" s="39"/>
      <c r="D48" s="38"/>
      <c r="E48" s="19"/>
      <c r="F48" s="38"/>
      <c r="G48" s="40"/>
      <c r="H48" s="18"/>
      <c r="I48" s="41" t="str">
        <f aca="false">IF(COUNTA($A48:$F48)=0,"",IF($B48="","",IFERROR(INDEX(Ranges!$B$5:$B$16,MATCH($B48,Ranges!$A$5:$A$16,0)),"")))</f>
        <v/>
      </c>
      <c r="J48" s="41" t="str">
        <f aca="false">IF(COUNTA($A48:$F48)=0,"",IF($B48="","",IFERROR(INDEX(Ranges!$C$5:$C$16,MATCH($B48,Ranges!$A$5:$A$16,0)),"")))</f>
        <v/>
      </c>
      <c r="K48" s="41" t="str">
        <f aca="false">IF(COUNTA($A48:$F48)=0,"",IF($B48="","",IFERROR(INDEX(Ranges!$D$5:$D$16,MATCH($B48,Ranges!$A$5:$A$16,0)),"")))</f>
        <v/>
      </c>
      <c r="L48" s="42" t="str">
        <f aca="false">IF(OR(NOT(ISNUMBER($E48)),NOT(ISNUMBER(J48))),"",IF(J48&gt;0,$E48/J48,""))</f>
        <v/>
      </c>
      <c r="M48" s="43" t="str">
        <f aca="false">IF(OR(NOT(ISNUMBER($E48)),NOT(ISNUMBER(I48)),NOT(ISNUMBER(K48))),"",IF(K48&gt;I48,($E48-I48)/(K48-I48),""))</f>
        <v/>
      </c>
      <c r="N48" s="42" t="str">
        <f aca="false">IF(Basis="Compa-ratio",L48,M48)</f>
        <v/>
      </c>
      <c r="O48" s="44" t="str">
        <f aca="false">IF(ISNUMBER(N48),IFERROR(MATCH(N48,Matrix!$C$9:$G$9,1),1),"")</f>
        <v/>
      </c>
      <c r="P48" s="45" t="str">
        <f aca="false">IF(COUNTA($A48:$F48)=0,"",IF(Q48="","Y","N"))</f>
        <v/>
      </c>
      <c r="Q48" s="46" t="str">
        <f aca="false">IF(COUNTA($A48:$F48)=0,"",IF($A48="","ID missing",IF(TRIM($F48)="Exclude","Excluded by plan status",IF(AND(TRIM($F48)&lt;&gt;"",TRIM($F48)&lt;&gt;"Include"),"Plan status not valid (use Include or Exclude)",IF(NOT(ISNUMBER($C48)),"Hire date missing or not a date",IF($C48&gt;Cutoff,"Hired after cutoff",IF(NOT(ISNUMBER($E48)),"Salary missing or not a number",IF($E48&lt;=0,"Salary missing or not a number",IF(OR(NOT(ISNUMBER(I48)),NOT(ISNUMBER(J48)),NOT(ISNUMBER(K48))),"Grade not found in Ranges",IF($D48="","Rating missing",IF($D48="NR","Not rated (NR)",IF(NOT(ISNUMBER(MATCH($D48,Matrix!$A$14:$A$18,0))),"Rating not valid (use 1 to 5 or NR)",IF(NOT(ISNUMBER(O48)),"Band not found (check range and limits)","")))))))))))))</f>
        <v/>
      </c>
      <c r="R48" s="47" t="str">
        <f aca="false">IF($P48="Y",INDEX(Matrix!$C$14:$G$18,MATCH($D48,Matrix!$A$14:$A$18,0),$O48),IF($P48="N",0,""))</f>
        <v/>
      </c>
      <c r="S48" s="47" t="str">
        <f aca="false">IF($P48="Y",IF(AND(ISNUMBER($G48),$G48&gt;=0,$G48&lt;=1),$G48,$R48),IF($P48="N",0,""))</f>
        <v/>
      </c>
      <c r="T48" s="48" t="str">
        <f aca="false">IF($P48&lt;&gt;"Y",IF($P48="N",0,""),IF(ProrateMethod="None",1,IF($C48&lt;=PeriodStart,1,IF(ProrateMethod="Daily",MAX(0,MIN(1,(PeriodEnd-$C48+1)/(PeriodEnd-PeriodStart+1))),MAX(0,MIN(1,((YEAR(PeriodEnd)-YEAR($C48))*12+MONTH(PeriodEnd)-MONTH($C48)+1-IF(DAY($C48)&gt;MonthCutDay,1,0))/PeriodMonths))))))</f>
        <v/>
      </c>
      <c r="U48" s="47" t="str">
        <f aca="false">IF($P48="","",$S48*$T48)</f>
        <v/>
      </c>
      <c r="V48" s="49" t="str">
        <f aca="false">IF($P48="","",IF(ISNUMBER($E48),$E48,0)*$R48)</f>
        <v/>
      </c>
      <c r="W48" s="49" t="str">
        <f aca="false">IF($P48="","",IF(ISNUMBER($E48),$E48,0)*$S48)</f>
        <v/>
      </c>
      <c r="X48" s="49" t="str">
        <f aca="false">IF($P48="","",IF(ISNUMBER($E48),$E48,0)*$U48)</f>
        <v/>
      </c>
      <c r="Y48" s="49" t="str">
        <f aca="false">IF($P48="","",IF(AND(CapAtMax="Yes",$P48="Y"),MAX(0,MIN($X48,$K48-$E48)),$X48))</f>
        <v/>
      </c>
      <c r="Z48" s="41" t="str">
        <f aca="false">IF(OR($P48="",NOT(ISNUMBER($E48))),"",$E48+$Y48)</f>
        <v/>
      </c>
      <c r="AA48" s="42" t="str">
        <f aca="false">IF(AND(ISNUMBER(Z48),ISNUMBER(J48)),IF(J48&gt;0,Z48/J48,""),"")</f>
        <v/>
      </c>
      <c r="AB48" s="46" t="str">
        <f aca="false">IF($P48="","",TRIM(IF(AND($P48="Y",ISNUMBER(K48),ISNUMBER(Z48)),IF(Z48&gt;K48,"Above range max. ",""),"")&amp;IF(AND($P48="Y",ISNUMBER($X48),ISNUMBER($Y48)),IF($X48-$Y48&gt;0.005,"Capped at range max. ",""),"")&amp;IF(AND(AND(ISNUMBER($G48),$G48&gt;=0,$G48&lt;=1),$H48=""),"Override needs a reason. ","")&amp;IF(AND(AND(ISNUMBER($G48),$G48&gt;=0,$G48&lt;=1),$P48&lt;&gt;"Y"),"Override ignored. ","")&amp;IF(AND($G48&lt;&gt;"",NOT(AND(ISNUMBER($G48),$G48&gt;=0,$G48&lt;=1))),"Override not valid, ignored. ","")&amp;IF(AND($A48&lt;&gt;"",COUNTIF($A$5:$A$254,$A48)&gt;1),"Duplicate ID. ","")))</f>
        <v/>
      </c>
    </row>
    <row r="49" customFormat="false" ht="15" hidden="false" customHeight="false" outlineLevel="0" collapsed="false">
      <c r="A49" s="18"/>
      <c r="B49" s="38"/>
      <c r="C49" s="39"/>
      <c r="D49" s="38"/>
      <c r="E49" s="19"/>
      <c r="F49" s="38"/>
      <c r="G49" s="40"/>
      <c r="H49" s="18"/>
      <c r="I49" s="41" t="str">
        <f aca="false">IF(COUNTA($A49:$F49)=0,"",IF($B49="","",IFERROR(INDEX(Ranges!$B$5:$B$16,MATCH($B49,Ranges!$A$5:$A$16,0)),"")))</f>
        <v/>
      </c>
      <c r="J49" s="41" t="str">
        <f aca="false">IF(COUNTA($A49:$F49)=0,"",IF($B49="","",IFERROR(INDEX(Ranges!$C$5:$C$16,MATCH($B49,Ranges!$A$5:$A$16,0)),"")))</f>
        <v/>
      </c>
      <c r="K49" s="41" t="str">
        <f aca="false">IF(COUNTA($A49:$F49)=0,"",IF($B49="","",IFERROR(INDEX(Ranges!$D$5:$D$16,MATCH($B49,Ranges!$A$5:$A$16,0)),"")))</f>
        <v/>
      </c>
      <c r="L49" s="42" t="str">
        <f aca="false">IF(OR(NOT(ISNUMBER($E49)),NOT(ISNUMBER(J49))),"",IF(J49&gt;0,$E49/J49,""))</f>
        <v/>
      </c>
      <c r="M49" s="43" t="str">
        <f aca="false">IF(OR(NOT(ISNUMBER($E49)),NOT(ISNUMBER(I49)),NOT(ISNUMBER(K49))),"",IF(K49&gt;I49,($E49-I49)/(K49-I49),""))</f>
        <v/>
      </c>
      <c r="N49" s="42" t="str">
        <f aca="false">IF(Basis="Compa-ratio",L49,M49)</f>
        <v/>
      </c>
      <c r="O49" s="44" t="str">
        <f aca="false">IF(ISNUMBER(N49),IFERROR(MATCH(N49,Matrix!$C$9:$G$9,1),1),"")</f>
        <v/>
      </c>
      <c r="P49" s="45" t="str">
        <f aca="false">IF(COUNTA($A49:$F49)=0,"",IF(Q49="","Y","N"))</f>
        <v/>
      </c>
      <c r="Q49" s="46" t="str">
        <f aca="false">IF(COUNTA($A49:$F49)=0,"",IF($A49="","ID missing",IF(TRIM($F49)="Exclude","Excluded by plan status",IF(AND(TRIM($F49)&lt;&gt;"",TRIM($F49)&lt;&gt;"Include"),"Plan status not valid (use Include or Exclude)",IF(NOT(ISNUMBER($C49)),"Hire date missing or not a date",IF($C49&gt;Cutoff,"Hired after cutoff",IF(NOT(ISNUMBER($E49)),"Salary missing or not a number",IF($E49&lt;=0,"Salary missing or not a number",IF(OR(NOT(ISNUMBER(I49)),NOT(ISNUMBER(J49)),NOT(ISNUMBER(K49))),"Grade not found in Ranges",IF($D49="","Rating missing",IF($D49="NR","Not rated (NR)",IF(NOT(ISNUMBER(MATCH($D49,Matrix!$A$14:$A$18,0))),"Rating not valid (use 1 to 5 or NR)",IF(NOT(ISNUMBER(O49)),"Band not found (check range and limits)","")))))))))))))</f>
        <v/>
      </c>
      <c r="R49" s="47" t="str">
        <f aca="false">IF($P49="Y",INDEX(Matrix!$C$14:$G$18,MATCH($D49,Matrix!$A$14:$A$18,0),$O49),IF($P49="N",0,""))</f>
        <v/>
      </c>
      <c r="S49" s="47" t="str">
        <f aca="false">IF($P49="Y",IF(AND(ISNUMBER($G49),$G49&gt;=0,$G49&lt;=1),$G49,$R49),IF($P49="N",0,""))</f>
        <v/>
      </c>
      <c r="T49" s="48" t="str">
        <f aca="false">IF($P49&lt;&gt;"Y",IF($P49="N",0,""),IF(ProrateMethod="None",1,IF($C49&lt;=PeriodStart,1,IF(ProrateMethod="Daily",MAX(0,MIN(1,(PeriodEnd-$C49+1)/(PeriodEnd-PeriodStart+1))),MAX(0,MIN(1,((YEAR(PeriodEnd)-YEAR($C49))*12+MONTH(PeriodEnd)-MONTH($C49)+1-IF(DAY($C49)&gt;MonthCutDay,1,0))/PeriodMonths))))))</f>
        <v/>
      </c>
      <c r="U49" s="47" t="str">
        <f aca="false">IF($P49="","",$S49*$T49)</f>
        <v/>
      </c>
      <c r="V49" s="49" t="str">
        <f aca="false">IF($P49="","",IF(ISNUMBER($E49),$E49,0)*$R49)</f>
        <v/>
      </c>
      <c r="W49" s="49" t="str">
        <f aca="false">IF($P49="","",IF(ISNUMBER($E49),$E49,0)*$S49)</f>
        <v/>
      </c>
      <c r="X49" s="49" t="str">
        <f aca="false">IF($P49="","",IF(ISNUMBER($E49),$E49,0)*$U49)</f>
        <v/>
      </c>
      <c r="Y49" s="49" t="str">
        <f aca="false">IF($P49="","",IF(AND(CapAtMax="Yes",$P49="Y"),MAX(0,MIN($X49,$K49-$E49)),$X49))</f>
        <v/>
      </c>
      <c r="Z49" s="41" t="str">
        <f aca="false">IF(OR($P49="",NOT(ISNUMBER($E49))),"",$E49+$Y49)</f>
        <v/>
      </c>
      <c r="AA49" s="42" t="str">
        <f aca="false">IF(AND(ISNUMBER(Z49),ISNUMBER(J49)),IF(J49&gt;0,Z49/J49,""),"")</f>
        <v/>
      </c>
      <c r="AB49" s="46" t="str">
        <f aca="false">IF($P49="","",TRIM(IF(AND($P49="Y",ISNUMBER(K49),ISNUMBER(Z49)),IF(Z49&gt;K49,"Above range max. ",""),"")&amp;IF(AND($P49="Y",ISNUMBER($X49),ISNUMBER($Y49)),IF($X49-$Y49&gt;0.005,"Capped at range max. ",""),"")&amp;IF(AND(AND(ISNUMBER($G49),$G49&gt;=0,$G49&lt;=1),$H49=""),"Override needs a reason. ","")&amp;IF(AND(AND(ISNUMBER($G49),$G49&gt;=0,$G49&lt;=1),$P49&lt;&gt;"Y"),"Override ignored. ","")&amp;IF(AND($G49&lt;&gt;"",NOT(AND(ISNUMBER($G49),$G49&gt;=0,$G49&lt;=1))),"Override not valid, ignored. ","")&amp;IF(AND($A49&lt;&gt;"",COUNTIF($A$5:$A$254,$A49)&gt;1),"Duplicate ID. ","")))</f>
        <v/>
      </c>
    </row>
    <row r="50" customFormat="false" ht="15" hidden="false" customHeight="false" outlineLevel="0" collapsed="false">
      <c r="A50" s="18"/>
      <c r="B50" s="38"/>
      <c r="C50" s="39"/>
      <c r="D50" s="38"/>
      <c r="E50" s="19"/>
      <c r="F50" s="38"/>
      <c r="G50" s="40"/>
      <c r="H50" s="18"/>
      <c r="I50" s="41" t="str">
        <f aca="false">IF(COUNTA($A50:$F50)=0,"",IF($B50="","",IFERROR(INDEX(Ranges!$B$5:$B$16,MATCH($B50,Ranges!$A$5:$A$16,0)),"")))</f>
        <v/>
      </c>
      <c r="J50" s="41" t="str">
        <f aca="false">IF(COUNTA($A50:$F50)=0,"",IF($B50="","",IFERROR(INDEX(Ranges!$C$5:$C$16,MATCH($B50,Ranges!$A$5:$A$16,0)),"")))</f>
        <v/>
      </c>
      <c r="K50" s="41" t="str">
        <f aca="false">IF(COUNTA($A50:$F50)=0,"",IF($B50="","",IFERROR(INDEX(Ranges!$D$5:$D$16,MATCH($B50,Ranges!$A$5:$A$16,0)),"")))</f>
        <v/>
      </c>
      <c r="L50" s="42" t="str">
        <f aca="false">IF(OR(NOT(ISNUMBER($E50)),NOT(ISNUMBER(J50))),"",IF(J50&gt;0,$E50/J50,""))</f>
        <v/>
      </c>
      <c r="M50" s="43" t="str">
        <f aca="false">IF(OR(NOT(ISNUMBER($E50)),NOT(ISNUMBER(I50)),NOT(ISNUMBER(K50))),"",IF(K50&gt;I50,($E50-I50)/(K50-I50),""))</f>
        <v/>
      </c>
      <c r="N50" s="42" t="str">
        <f aca="false">IF(Basis="Compa-ratio",L50,M50)</f>
        <v/>
      </c>
      <c r="O50" s="44" t="str">
        <f aca="false">IF(ISNUMBER(N50),IFERROR(MATCH(N50,Matrix!$C$9:$G$9,1),1),"")</f>
        <v/>
      </c>
      <c r="P50" s="45" t="str">
        <f aca="false">IF(COUNTA($A50:$F50)=0,"",IF(Q50="","Y","N"))</f>
        <v/>
      </c>
      <c r="Q50" s="46" t="str">
        <f aca="false">IF(COUNTA($A50:$F50)=0,"",IF($A50="","ID missing",IF(TRIM($F50)="Exclude","Excluded by plan status",IF(AND(TRIM($F50)&lt;&gt;"",TRIM($F50)&lt;&gt;"Include"),"Plan status not valid (use Include or Exclude)",IF(NOT(ISNUMBER($C50)),"Hire date missing or not a date",IF($C50&gt;Cutoff,"Hired after cutoff",IF(NOT(ISNUMBER($E50)),"Salary missing or not a number",IF($E50&lt;=0,"Salary missing or not a number",IF(OR(NOT(ISNUMBER(I50)),NOT(ISNUMBER(J50)),NOT(ISNUMBER(K50))),"Grade not found in Ranges",IF($D50="","Rating missing",IF($D50="NR","Not rated (NR)",IF(NOT(ISNUMBER(MATCH($D50,Matrix!$A$14:$A$18,0))),"Rating not valid (use 1 to 5 or NR)",IF(NOT(ISNUMBER(O50)),"Band not found (check range and limits)","")))))))))))))</f>
        <v/>
      </c>
      <c r="R50" s="47" t="str">
        <f aca="false">IF($P50="Y",INDEX(Matrix!$C$14:$G$18,MATCH($D50,Matrix!$A$14:$A$18,0),$O50),IF($P50="N",0,""))</f>
        <v/>
      </c>
      <c r="S50" s="47" t="str">
        <f aca="false">IF($P50="Y",IF(AND(ISNUMBER($G50),$G50&gt;=0,$G50&lt;=1),$G50,$R50),IF($P50="N",0,""))</f>
        <v/>
      </c>
      <c r="T50" s="48" t="str">
        <f aca="false">IF($P50&lt;&gt;"Y",IF($P50="N",0,""),IF(ProrateMethod="None",1,IF($C50&lt;=PeriodStart,1,IF(ProrateMethod="Daily",MAX(0,MIN(1,(PeriodEnd-$C50+1)/(PeriodEnd-PeriodStart+1))),MAX(0,MIN(1,((YEAR(PeriodEnd)-YEAR($C50))*12+MONTH(PeriodEnd)-MONTH($C50)+1-IF(DAY($C50)&gt;MonthCutDay,1,0))/PeriodMonths))))))</f>
        <v/>
      </c>
      <c r="U50" s="47" t="str">
        <f aca="false">IF($P50="","",$S50*$T50)</f>
        <v/>
      </c>
      <c r="V50" s="49" t="str">
        <f aca="false">IF($P50="","",IF(ISNUMBER($E50),$E50,0)*$R50)</f>
        <v/>
      </c>
      <c r="W50" s="49" t="str">
        <f aca="false">IF($P50="","",IF(ISNUMBER($E50),$E50,0)*$S50)</f>
        <v/>
      </c>
      <c r="X50" s="49" t="str">
        <f aca="false">IF($P50="","",IF(ISNUMBER($E50),$E50,0)*$U50)</f>
        <v/>
      </c>
      <c r="Y50" s="49" t="str">
        <f aca="false">IF($P50="","",IF(AND(CapAtMax="Yes",$P50="Y"),MAX(0,MIN($X50,$K50-$E50)),$X50))</f>
        <v/>
      </c>
      <c r="Z50" s="41" t="str">
        <f aca="false">IF(OR($P50="",NOT(ISNUMBER($E50))),"",$E50+$Y50)</f>
        <v/>
      </c>
      <c r="AA50" s="42" t="str">
        <f aca="false">IF(AND(ISNUMBER(Z50),ISNUMBER(J50)),IF(J50&gt;0,Z50/J50,""),"")</f>
        <v/>
      </c>
      <c r="AB50" s="46" t="str">
        <f aca="false">IF($P50="","",TRIM(IF(AND($P50="Y",ISNUMBER(K50),ISNUMBER(Z50)),IF(Z50&gt;K50,"Above range max. ",""),"")&amp;IF(AND($P50="Y",ISNUMBER($X50),ISNUMBER($Y50)),IF($X50-$Y50&gt;0.005,"Capped at range max. ",""),"")&amp;IF(AND(AND(ISNUMBER($G50),$G50&gt;=0,$G50&lt;=1),$H50=""),"Override needs a reason. ","")&amp;IF(AND(AND(ISNUMBER($G50),$G50&gt;=0,$G50&lt;=1),$P50&lt;&gt;"Y"),"Override ignored. ","")&amp;IF(AND($G50&lt;&gt;"",NOT(AND(ISNUMBER($G50),$G50&gt;=0,$G50&lt;=1))),"Override not valid, ignored. ","")&amp;IF(AND($A50&lt;&gt;"",COUNTIF($A$5:$A$254,$A50)&gt;1),"Duplicate ID. ","")))</f>
        <v/>
      </c>
    </row>
    <row r="51" customFormat="false" ht="15" hidden="false" customHeight="false" outlineLevel="0" collapsed="false">
      <c r="A51" s="18"/>
      <c r="B51" s="38"/>
      <c r="C51" s="39"/>
      <c r="D51" s="38"/>
      <c r="E51" s="19"/>
      <c r="F51" s="38"/>
      <c r="G51" s="40"/>
      <c r="H51" s="18"/>
      <c r="I51" s="41" t="str">
        <f aca="false">IF(COUNTA($A51:$F51)=0,"",IF($B51="","",IFERROR(INDEX(Ranges!$B$5:$B$16,MATCH($B51,Ranges!$A$5:$A$16,0)),"")))</f>
        <v/>
      </c>
      <c r="J51" s="41" t="str">
        <f aca="false">IF(COUNTA($A51:$F51)=0,"",IF($B51="","",IFERROR(INDEX(Ranges!$C$5:$C$16,MATCH($B51,Ranges!$A$5:$A$16,0)),"")))</f>
        <v/>
      </c>
      <c r="K51" s="41" t="str">
        <f aca="false">IF(COUNTA($A51:$F51)=0,"",IF($B51="","",IFERROR(INDEX(Ranges!$D$5:$D$16,MATCH($B51,Ranges!$A$5:$A$16,0)),"")))</f>
        <v/>
      </c>
      <c r="L51" s="42" t="str">
        <f aca="false">IF(OR(NOT(ISNUMBER($E51)),NOT(ISNUMBER(J51))),"",IF(J51&gt;0,$E51/J51,""))</f>
        <v/>
      </c>
      <c r="M51" s="43" t="str">
        <f aca="false">IF(OR(NOT(ISNUMBER($E51)),NOT(ISNUMBER(I51)),NOT(ISNUMBER(K51))),"",IF(K51&gt;I51,($E51-I51)/(K51-I51),""))</f>
        <v/>
      </c>
      <c r="N51" s="42" t="str">
        <f aca="false">IF(Basis="Compa-ratio",L51,M51)</f>
        <v/>
      </c>
      <c r="O51" s="44" t="str">
        <f aca="false">IF(ISNUMBER(N51),IFERROR(MATCH(N51,Matrix!$C$9:$G$9,1),1),"")</f>
        <v/>
      </c>
      <c r="P51" s="45" t="str">
        <f aca="false">IF(COUNTA($A51:$F51)=0,"",IF(Q51="","Y","N"))</f>
        <v/>
      </c>
      <c r="Q51" s="46" t="str">
        <f aca="false">IF(COUNTA($A51:$F51)=0,"",IF($A51="","ID missing",IF(TRIM($F51)="Exclude","Excluded by plan status",IF(AND(TRIM($F51)&lt;&gt;"",TRIM($F51)&lt;&gt;"Include"),"Plan status not valid (use Include or Exclude)",IF(NOT(ISNUMBER($C51)),"Hire date missing or not a date",IF($C51&gt;Cutoff,"Hired after cutoff",IF(NOT(ISNUMBER($E51)),"Salary missing or not a number",IF($E51&lt;=0,"Salary missing or not a number",IF(OR(NOT(ISNUMBER(I51)),NOT(ISNUMBER(J51)),NOT(ISNUMBER(K51))),"Grade not found in Ranges",IF($D51="","Rating missing",IF($D51="NR","Not rated (NR)",IF(NOT(ISNUMBER(MATCH($D51,Matrix!$A$14:$A$18,0))),"Rating not valid (use 1 to 5 or NR)",IF(NOT(ISNUMBER(O51)),"Band not found (check range and limits)","")))))))))))))</f>
        <v/>
      </c>
      <c r="R51" s="47" t="str">
        <f aca="false">IF($P51="Y",INDEX(Matrix!$C$14:$G$18,MATCH($D51,Matrix!$A$14:$A$18,0),$O51),IF($P51="N",0,""))</f>
        <v/>
      </c>
      <c r="S51" s="47" t="str">
        <f aca="false">IF($P51="Y",IF(AND(ISNUMBER($G51),$G51&gt;=0,$G51&lt;=1),$G51,$R51),IF($P51="N",0,""))</f>
        <v/>
      </c>
      <c r="T51" s="48" t="str">
        <f aca="false">IF($P51&lt;&gt;"Y",IF($P51="N",0,""),IF(ProrateMethod="None",1,IF($C51&lt;=PeriodStart,1,IF(ProrateMethod="Daily",MAX(0,MIN(1,(PeriodEnd-$C51+1)/(PeriodEnd-PeriodStart+1))),MAX(0,MIN(1,((YEAR(PeriodEnd)-YEAR($C51))*12+MONTH(PeriodEnd)-MONTH($C51)+1-IF(DAY($C51)&gt;MonthCutDay,1,0))/PeriodMonths))))))</f>
        <v/>
      </c>
      <c r="U51" s="47" t="str">
        <f aca="false">IF($P51="","",$S51*$T51)</f>
        <v/>
      </c>
      <c r="V51" s="49" t="str">
        <f aca="false">IF($P51="","",IF(ISNUMBER($E51),$E51,0)*$R51)</f>
        <v/>
      </c>
      <c r="W51" s="49" t="str">
        <f aca="false">IF($P51="","",IF(ISNUMBER($E51),$E51,0)*$S51)</f>
        <v/>
      </c>
      <c r="X51" s="49" t="str">
        <f aca="false">IF($P51="","",IF(ISNUMBER($E51),$E51,0)*$U51)</f>
        <v/>
      </c>
      <c r="Y51" s="49" t="str">
        <f aca="false">IF($P51="","",IF(AND(CapAtMax="Yes",$P51="Y"),MAX(0,MIN($X51,$K51-$E51)),$X51))</f>
        <v/>
      </c>
      <c r="Z51" s="41" t="str">
        <f aca="false">IF(OR($P51="",NOT(ISNUMBER($E51))),"",$E51+$Y51)</f>
        <v/>
      </c>
      <c r="AA51" s="42" t="str">
        <f aca="false">IF(AND(ISNUMBER(Z51),ISNUMBER(J51)),IF(J51&gt;0,Z51/J51,""),"")</f>
        <v/>
      </c>
      <c r="AB51" s="46" t="str">
        <f aca="false">IF($P51="","",TRIM(IF(AND($P51="Y",ISNUMBER(K51),ISNUMBER(Z51)),IF(Z51&gt;K51,"Above range max. ",""),"")&amp;IF(AND($P51="Y",ISNUMBER($X51),ISNUMBER($Y51)),IF($X51-$Y51&gt;0.005,"Capped at range max. ",""),"")&amp;IF(AND(AND(ISNUMBER($G51),$G51&gt;=0,$G51&lt;=1),$H51=""),"Override needs a reason. ","")&amp;IF(AND(AND(ISNUMBER($G51),$G51&gt;=0,$G51&lt;=1),$P51&lt;&gt;"Y"),"Override ignored. ","")&amp;IF(AND($G51&lt;&gt;"",NOT(AND(ISNUMBER($G51),$G51&gt;=0,$G51&lt;=1))),"Override not valid, ignored. ","")&amp;IF(AND($A51&lt;&gt;"",COUNTIF($A$5:$A$254,$A51)&gt;1),"Duplicate ID. ","")))</f>
        <v/>
      </c>
    </row>
    <row r="52" customFormat="false" ht="15" hidden="false" customHeight="false" outlineLevel="0" collapsed="false">
      <c r="A52" s="18"/>
      <c r="B52" s="38"/>
      <c r="C52" s="39"/>
      <c r="D52" s="38"/>
      <c r="E52" s="19"/>
      <c r="F52" s="38"/>
      <c r="G52" s="40"/>
      <c r="H52" s="18"/>
      <c r="I52" s="41" t="str">
        <f aca="false">IF(COUNTA($A52:$F52)=0,"",IF($B52="","",IFERROR(INDEX(Ranges!$B$5:$B$16,MATCH($B52,Ranges!$A$5:$A$16,0)),"")))</f>
        <v/>
      </c>
      <c r="J52" s="41" t="str">
        <f aca="false">IF(COUNTA($A52:$F52)=0,"",IF($B52="","",IFERROR(INDEX(Ranges!$C$5:$C$16,MATCH($B52,Ranges!$A$5:$A$16,0)),"")))</f>
        <v/>
      </c>
      <c r="K52" s="41" t="str">
        <f aca="false">IF(COUNTA($A52:$F52)=0,"",IF($B52="","",IFERROR(INDEX(Ranges!$D$5:$D$16,MATCH($B52,Ranges!$A$5:$A$16,0)),"")))</f>
        <v/>
      </c>
      <c r="L52" s="42" t="str">
        <f aca="false">IF(OR(NOT(ISNUMBER($E52)),NOT(ISNUMBER(J52))),"",IF(J52&gt;0,$E52/J52,""))</f>
        <v/>
      </c>
      <c r="M52" s="43" t="str">
        <f aca="false">IF(OR(NOT(ISNUMBER($E52)),NOT(ISNUMBER(I52)),NOT(ISNUMBER(K52))),"",IF(K52&gt;I52,($E52-I52)/(K52-I52),""))</f>
        <v/>
      </c>
      <c r="N52" s="42" t="str">
        <f aca="false">IF(Basis="Compa-ratio",L52,M52)</f>
        <v/>
      </c>
      <c r="O52" s="44" t="str">
        <f aca="false">IF(ISNUMBER(N52),IFERROR(MATCH(N52,Matrix!$C$9:$G$9,1),1),"")</f>
        <v/>
      </c>
      <c r="P52" s="45" t="str">
        <f aca="false">IF(COUNTA($A52:$F52)=0,"",IF(Q52="","Y","N"))</f>
        <v/>
      </c>
      <c r="Q52" s="46" t="str">
        <f aca="false">IF(COUNTA($A52:$F52)=0,"",IF($A52="","ID missing",IF(TRIM($F52)="Exclude","Excluded by plan status",IF(AND(TRIM($F52)&lt;&gt;"",TRIM($F52)&lt;&gt;"Include"),"Plan status not valid (use Include or Exclude)",IF(NOT(ISNUMBER($C52)),"Hire date missing or not a date",IF($C52&gt;Cutoff,"Hired after cutoff",IF(NOT(ISNUMBER($E52)),"Salary missing or not a number",IF($E52&lt;=0,"Salary missing or not a number",IF(OR(NOT(ISNUMBER(I52)),NOT(ISNUMBER(J52)),NOT(ISNUMBER(K52))),"Grade not found in Ranges",IF($D52="","Rating missing",IF($D52="NR","Not rated (NR)",IF(NOT(ISNUMBER(MATCH($D52,Matrix!$A$14:$A$18,0))),"Rating not valid (use 1 to 5 or NR)",IF(NOT(ISNUMBER(O52)),"Band not found (check range and limits)","")))))))))))))</f>
        <v/>
      </c>
      <c r="R52" s="47" t="str">
        <f aca="false">IF($P52="Y",INDEX(Matrix!$C$14:$G$18,MATCH($D52,Matrix!$A$14:$A$18,0),$O52),IF($P52="N",0,""))</f>
        <v/>
      </c>
      <c r="S52" s="47" t="str">
        <f aca="false">IF($P52="Y",IF(AND(ISNUMBER($G52),$G52&gt;=0,$G52&lt;=1),$G52,$R52),IF($P52="N",0,""))</f>
        <v/>
      </c>
      <c r="T52" s="48" t="str">
        <f aca="false">IF($P52&lt;&gt;"Y",IF($P52="N",0,""),IF(ProrateMethod="None",1,IF($C52&lt;=PeriodStart,1,IF(ProrateMethod="Daily",MAX(0,MIN(1,(PeriodEnd-$C52+1)/(PeriodEnd-PeriodStart+1))),MAX(0,MIN(1,((YEAR(PeriodEnd)-YEAR($C52))*12+MONTH(PeriodEnd)-MONTH($C52)+1-IF(DAY($C52)&gt;MonthCutDay,1,0))/PeriodMonths))))))</f>
        <v/>
      </c>
      <c r="U52" s="47" t="str">
        <f aca="false">IF($P52="","",$S52*$T52)</f>
        <v/>
      </c>
      <c r="V52" s="49" t="str">
        <f aca="false">IF($P52="","",IF(ISNUMBER($E52),$E52,0)*$R52)</f>
        <v/>
      </c>
      <c r="W52" s="49" t="str">
        <f aca="false">IF($P52="","",IF(ISNUMBER($E52),$E52,0)*$S52)</f>
        <v/>
      </c>
      <c r="X52" s="49" t="str">
        <f aca="false">IF($P52="","",IF(ISNUMBER($E52),$E52,0)*$U52)</f>
        <v/>
      </c>
      <c r="Y52" s="49" t="str">
        <f aca="false">IF($P52="","",IF(AND(CapAtMax="Yes",$P52="Y"),MAX(0,MIN($X52,$K52-$E52)),$X52))</f>
        <v/>
      </c>
      <c r="Z52" s="41" t="str">
        <f aca="false">IF(OR($P52="",NOT(ISNUMBER($E52))),"",$E52+$Y52)</f>
        <v/>
      </c>
      <c r="AA52" s="42" t="str">
        <f aca="false">IF(AND(ISNUMBER(Z52),ISNUMBER(J52)),IF(J52&gt;0,Z52/J52,""),"")</f>
        <v/>
      </c>
      <c r="AB52" s="46" t="str">
        <f aca="false">IF($P52="","",TRIM(IF(AND($P52="Y",ISNUMBER(K52),ISNUMBER(Z52)),IF(Z52&gt;K52,"Above range max. ",""),"")&amp;IF(AND($P52="Y",ISNUMBER($X52),ISNUMBER($Y52)),IF($X52-$Y52&gt;0.005,"Capped at range max. ",""),"")&amp;IF(AND(AND(ISNUMBER($G52),$G52&gt;=0,$G52&lt;=1),$H52=""),"Override needs a reason. ","")&amp;IF(AND(AND(ISNUMBER($G52),$G52&gt;=0,$G52&lt;=1),$P52&lt;&gt;"Y"),"Override ignored. ","")&amp;IF(AND($G52&lt;&gt;"",NOT(AND(ISNUMBER($G52),$G52&gt;=0,$G52&lt;=1))),"Override not valid, ignored. ","")&amp;IF(AND($A52&lt;&gt;"",COUNTIF($A$5:$A$254,$A52)&gt;1),"Duplicate ID. ","")))</f>
        <v/>
      </c>
    </row>
    <row r="53" customFormat="false" ht="15" hidden="false" customHeight="false" outlineLevel="0" collapsed="false">
      <c r="A53" s="18"/>
      <c r="B53" s="38"/>
      <c r="C53" s="39"/>
      <c r="D53" s="38"/>
      <c r="E53" s="19"/>
      <c r="F53" s="38"/>
      <c r="G53" s="40"/>
      <c r="H53" s="18"/>
      <c r="I53" s="41" t="str">
        <f aca="false">IF(COUNTA($A53:$F53)=0,"",IF($B53="","",IFERROR(INDEX(Ranges!$B$5:$B$16,MATCH($B53,Ranges!$A$5:$A$16,0)),"")))</f>
        <v/>
      </c>
      <c r="J53" s="41" t="str">
        <f aca="false">IF(COUNTA($A53:$F53)=0,"",IF($B53="","",IFERROR(INDEX(Ranges!$C$5:$C$16,MATCH($B53,Ranges!$A$5:$A$16,0)),"")))</f>
        <v/>
      </c>
      <c r="K53" s="41" t="str">
        <f aca="false">IF(COUNTA($A53:$F53)=0,"",IF($B53="","",IFERROR(INDEX(Ranges!$D$5:$D$16,MATCH($B53,Ranges!$A$5:$A$16,0)),"")))</f>
        <v/>
      </c>
      <c r="L53" s="42" t="str">
        <f aca="false">IF(OR(NOT(ISNUMBER($E53)),NOT(ISNUMBER(J53))),"",IF(J53&gt;0,$E53/J53,""))</f>
        <v/>
      </c>
      <c r="M53" s="43" t="str">
        <f aca="false">IF(OR(NOT(ISNUMBER($E53)),NOT(ISNUMBER(I53)),NOT(ISNUMBER(K53))),"",IF(K53&gt;I53,($E53-I53)/(K53-I53),""))</f>
        <v/>
      </c>
      <c r="N53" s="42" t="str">
        <f aca="false">IF(Basis="Compa-ratio",L53,M53)</f>
        <v/>
      </c>
      <c r="O53" s="44" t="str">
        <f aca="false">IF(ISNUMBER(N53),IFERROR(MATCH(N53,Matrix!$C$9:$G$9,1),1),"")</f>
        <v/>
      </c>
      <c r="P53" s="45" t="str">
        <f aca="false">IF(COUNTA($A53:$F53)=0,"",IF(Q53="","Y","N"))</f>
        <v/>
      </c>
      <c r="Q53" s="46" t="str">
        <f aca="false">IF(COUNTA($A53:$F53)=0,"",IF($A53="","ID missing",IF(TRIM($F53)="Exclude","Excluded by plan status",IF(AND(TRIM($F53)&lt;&gt;"",TRIM($F53)&lt;&gt;"Include"),"Plan status not valid (use Include or Exclude)",IF(NOT(ISNUMBER($C53)),"Hire date missing or not a date",IF($C53&gt;Cutoff,"Hired after cutoff",IF(NOT(ISNUMBER($E53)),"Salary missing or not a number",IF($E53&lt;=0,"Salary missing or not a number",IF(OR(NOT(ISNUMBER(I53)),NOT(ISNUMBER(J53)),NOT(ISNUMBER(K53))),"Grade not found in Ranges",IF($D53="","Rating missing",IF($D53="NR","Not rated (NR)",IF(NOT(ISNUMBER(MATCH($D53,Matrix!$A$14:$A$18,0))),"Rating not valid (use 1 to 5 or NR)",IF(NOT(ISNUMBER(O53)),"Band not found (check range and limits)","")))))))))))))</f>
        <v/>
      </c>
      <c r="R53" s="47" t="str">
        <f aca="false">IF($P53="Y",INDEX(Matrix!$C$14:$G$18,MATCH($D53,Matrix!$A$14:$A$18,0),$O53),IF($P53="N",0,""))</f>
        <v/>
      </c>
      <c r="S53" s="47" t="str">
        <f aca="false">IF($P53="Y",IF(AND(ISNUMBER($G53),$G53&gt;=0,$G53&lt;=1),$G53,$R53),IF($P53="N",0,""))</f>
        <v/>
      </c>
      <c r="T53" s="48" t="str">
        <f aca="false">IF($P53&lt;&gt;"Y",IF($P53="N",0,""),IF(ProrateMethod="None",1,IF($C53&lt;=PeriodStart,1,IF(ProrateMethod="Daily",MAX(0,MIN(1,(PeriodEnd-$C53+1)/(PeriodEnd-PeriodStart+1))),MAX(0,MIN(1,((YEAR(PeriodEnd)-YEAR($C53))*12+MONTH(PeriodEnd)-MONTH($C53)+1-IF(DAY($C53)&gt;MonthCutDay,1,0))/PeriodMonths))))))</f>
        <v/>
      </c>
      <c r="U53" s="47" t="str">
        <f aca="false">IF($P53="","",$S53*$T53)</f>
        <v/>
      </c>
      <c r="V53" s="49" t="str">
        <f aca="false">IF($P53="","",IF(ISNUMBER($E53),$E53,0)*$R53)</f>
        <v/>
      </c>
      <c r="W53" s="49" t="str">
        <f aca="false">IF($P53="","",IF(ISNUMBER($E53),$E53,0)*$S53)</f>
        <v/>
      </c>
      <c r="X53" s="49" t="str">
        <f aca="false">IF($P53="","",IF(ISNUMBER($E53),$E53,0)*$U53)</f>
        <v/>
      </c>
      <c r="Y53" s="49" t="str">
        <f aca="false">IF($P53="","",IF(AND(CapAtMax="Yes",$P53="Y"),MAX(0,MIN($X53,$K53-$E53)),$X53))</f>
        <v/>
      </c>
      <c r="Z53" s="41" t="str">
        <f aca="false">IF(OR($P53="",NOT(ISNUMBER($E53))),"",$E53+$Y53)</f>
        <v/>
      </c>
      <c r="AA53" s="42" t="str">
        <f aca="false">IF(AND(ISNUMBER(Z53),ISNUMBER(J53)),IF(J53&gt;0,Z53/J53,""),"")</f>
        <v/>
      </c>
      <c r="AB53" s="46" t="str">
        <f aca="false">IF($P53="","",TRIM(IF(AND($P53="Y",ISNUMBER(K53),ISNUMBER(Z53)),IF(Z53&gt;K53,"Above range max. ",""),"")&amp;IF(AND($P53="Y",ISNUMBER($X53),ISNUMBER($Y53)),IF($X53-$Y53&gt;0.005,"Capped at range max. ",""),"")&amp;IF(AND(AND(ISNUMBER($G53),$G53&gt;=0,$G53&lt;=1),$H53=""),"Override needs a reason. ","")&amp;IF(AND(AND(ISNUMBER($G53),$G53&gt;=0,$G53&lt;=1),$P53&lt;&gt;"Y"),"Override ignored. ","")&amp;IF(AND($G53&lt;&gt;"",NOT(AND(ISNUMBER($G53),$G53&gt;=0,$G53&lt;=1))),"Override not valid, ignored. ","")&amp;IF(AND($A53&lt;&gt;"",COUNTIF($A$5:$A$254,$A53)&gt;1),"Duplicate ID. ","")))</f>
        <v/>
      </c>
    </row>
    <row r="54" customFormat="false" ht="15" hidden="false" customHeight="false" outlineLevel="0" collapsed="false">
      <c r="A54" s="18"/>
      <c r="B54" s="38"/>
      <c r="C54" s="39"/>
      <c r="D54" s="38"/>
      <c r="E54" s="19"/>
      <c r="F54" s="38"/>
      <c r="G54" s="40"/>
      <c r="H54" s="18"/>
      <c r="I54" s="41" t="str">
        <f aca="false">IF(COUNTA($A54:$F54)=0,"",IF($B54="","",IFERROR(INDEX(Ranges!$B$5:$B$16,MATCH($B54,Ranges!$A$5:$A$16,0)),"")))</f>
        <v/>
      </c>
      <c r="J54" s="41" t="str">
        <f aca="false">IF(COUNTA($A54:$F54)=0,"",IF($B54="","",IFERROR(INDEX(Ranges!$C$5:$C$16,MATCH($B54,Ranges!$A$5:$A$16,0)),"")))</f>
        <v/>
      </c>
      <c r="K54" s="41" t="str">
        <f aca="false">IF(COUNTA($A54:$F54)=0,"",IF($B54="","",IFERROR(INDEX(Ranges!$D$5:$D$16,MATCH($B54,Ranges!$A$5:$A$16,0)),"")))</f>
        <v/>
      </c>
      <c r="L54" s="42" t="str">
        <f aca="false">IF(OR(NOT(ISNUMBER($E54)),NOT(ISNUMBER(J54))),"",IF(J54&gt;0,$E54/J54,""))</f>
        <v/>
      </c>
      <c r="M54" s="43" t="str">
        <f aca="false">IF(OR(NOT(ISNUMBER($E54)),NOT(ISNUMBER(I54)),NOT(ISNUMBER(K54))),"",IF(K54&gt;I54,($E54-I54)/(K54-I54),""))</f>
        <v/>
      </c>
      <c r="N54" s="42" t="str">
        <f aca="false">IF(Basis="Compa-ratio",L54,M54)</f>
        <v/>
      </c>
      <c r="O54" s="44" t="str">
        <f aca="false">IF(ISNUMBER(N54),IFERROR(MATCH(N54,Matrix!$C$9:$G$9,1),1),"")</f>
        <v/>
      </c>
      <c r="P54" s="45" t="str">
        <f aca="false">IF(COUNTA($A54:$F54)=0,"",IF(Q54="","Y","N"))</f>
        <v/>
      </c>
      <c r="Q54" s="46" t="str">
        <f aca="false">IF(COUNTA($A54:$F54)=0,"",IF($A54="","ID missing",IF(TRIM($F54)="Exclude","Excluded by plan status",IF(AND(TRIM($F54)&lt;&gt;"",TRIM($F54)&lt;&gt;"Include"),"Plan status not valid (use Include or Exclude)",IF(NOT(ISNUMBER($C54)),"Hire date missing or not a date",IF($C54&gt;Cutoff,"Hired after cutoff",IF(NOT(ISNUMBER($E54)),"Salary missing or not a number",IF($E54&lt;=0,"Salary missing or not a number",IF(OR(NOT(ISNUMBER(I54)),NOT(ISNUMBER(J54)),NOT(ISNUMBER(K54))),"Grade not found in Ranges",IF($D54="","Rating missing",IF($D54="NR","Not rated (NR)",IF(NOT(ISNUMBER(MATCH($D54,Matrix!$A$14:$A$18,0))),"Rating not valid (use 1 to 5 or NR)",IF(NOT(ISNUMBER(O54)),"Band not found (check range and limits)","")))))))))))))</f>
        <v/>
      </c>
      <c r="R54" s="47" t="str">
        <f aca="false">IF($P54="Y",INDEX(Matrix!$C$14:$G$18,MATCH($D54,Matrix!$A$14:$A$18,0),$O54),IF($P54="N",0,""))</f>
        <v/>
      </c>
      <c r="S54" s="47" t="str">
        <f aca="false">IF($P54="Y",IF(AND(ISNUMBER($G54),$G54&gt;=0,$G54&lt;=1),$G54,$R54),IF($P54="N",0,""))</f>
        <v/>
      </c>
      <c r="T54" s="48" t="str">
        <f aca="false">IF($P54&lt;&gt;"Y",IF($P54="N",0,""),IF(ProrateMethod="None",1,IF($C54&lt;=PeriodStart,1,IF(ProrateMethod="Daily",MAX(0,MIN(1,(PeriodEnd-$C54+1)/(PeriodEnd-PeriodStart+1))),MAX(0,MIN(1,((YEAR(PeriodEnd)-YEAR($C54))*12+MONTH(PeriodEnd)-MONTH($C54)+1-IF(DAY($C54)&gt;MonthCutDay,1,0))/PeriodMonths))))))</f>
        <v/>
      </c>
      <c r="U54" s="47" t="str">
        <f aca="false">IF($P54="","",$S54*$T54)</f>
        <v/>
      </c>
      <c r="V54" s="49" t="str">
        <f aca="false">IF($P54="","",IF(ISNUMBER($E54),$E54,0)*$R54)</f>
        <v/>
      </c>
      <c r="W54" s="49" t="str">
        <f aca="false">IF($P54="","",IF(ISNUMBER($E54),$E54,0)*$S54)</f>
        <v/>
      </c>
      <c r="X54" s="49" t="str">
        <f aca="false">IF($P54="","",IF(ISNUMBER($E54),$E54,0)*$U54)</f>
        <v/>
      </c>
      <c r="Y54" s="49" t="str">
        <f aca="false">IF($P54="","",IF(AND(CapAtMax="Yes",$P54="Y"),MAX(0,MIN($X54,$K54-$E54)),$X54))</f>
        <v/>
      </c>
      <c r="Z54" s="41" t="str">
        <f aca="false">IF(OR($P54="",NOT(ISNUMBER($E54))),"",$E54+$Y54)</f>
        <v/>
      </c>
      <c r="AA54" s="42" t="str">
        <f aca="false">IF(AND(ISNUMBER(Z54),ISNUMBER(J54)),IF(J54&gt;0,Z54/J54,""),"")</f>
        <v/>
      </c>
      <c r="AB54" s="46" t="str">
        <f aca="false">IF($P54="","",TRIM(IF(AND($P54="Y",ISNUMBER(K54),ISNUMBER(Z54)),IF(Z54&gt;K54,"Above range max. ",""),"")&amp;IF(AND($P54="Y",ISNUMBER($X54),ISNUMBER($Y54)),IF($X54-$Y54&gt;0.005,"Capped at range max. ",""),"")&amp;IF(AND(AND(ISNUMBER($G54),$G54&gt;=0,$G54&lt;=1),$H54=""),"Override needs a reason. ","")&amp;IF(AND(AND(ISNUMBER($G54),$G54&gt;=0,$G54&lt;=1),$P54&lt;&gt;"Y"),"Override ignored. ","")&amp;IF(AND($G54&lt;&gt;"",NOT(AND(ISNUMBER($G54),$G54&gt;=0,$G54&lt;=1))),"Override not valid, ignored. ","")&amp;IF(AND($A54&lt;&gt;"",COUNTIF($A$5:$A$254,$A54)&gt;1),"Duplicate ID. ","")))</f>
        <v/>
      </c>
    </row>
    <row r="55" customFormat="false" ht="15" hidden="false" customHeight="false" outlineLevel="0" collapsed="false">
      <c r="A55" s="18"/>
      <c r="B55" s="38"/>
      <c r="C55" s="39"/>
      <c r="D55" s="38"/>
      <c r="E55" s="19"/>
      <c r="F55" s="38"/>
      <c r="G55" s="40"/>
      <c r="H55" s="18"/>
      <c r="I55" s="41" t="str">
        <f aca="false">IF(COUNTA($A55:$F55)=0,"",IF($B55="","",IFERROR(INDEX(Ranges!$B$5:$B$16,MATCH($B55,Ranges!$A$5:$A$16,0)),"")))</f>
        <v/>
      </c>
      <c r="J55" s="41" t="str">
        <f aca="false">IF(COUNTA($A55:$F55)=0,"",IF($B55="","",IFERROR(INDEX(Ranges!$C$5:$C$16,MATCH($B55,Ranges!$A$5:$A$16,0)),"")))</f>
        <v/>
      </c>
      <c r="K55" s="41" t="str">
        <f aca="false">IF(COUNTA($A55:$F55)=0,"",IF($B55="","",IFERROR(INDEX(Ranges!$D$5:$D$16,MATCH($B55,Ranges!$A$5:$A$16,0)),"")))</f>
        <v/>
      </c>
      <c r="L55" s="42" t="str">
        <f aca="false">IF(OR(NOT(ISNUMBER($E55)),NOT(ISNUMBER(J55))),"",IF(J55&gt;0,$E55/J55,""))</f>
        <v/>
      </c>
      <c r="M55" s="43" t="str">
        <f aca="false">IF(OR(NOT(ISNUMBER($E55)),NOT(ISNUMBER(I55)),NOT(ISNUMBER(K55))),"",IF(K55&gt;I55,($E55-I55)/(K55-I55),""))</f>
        <v/>
      </c>
      <c r="N55" s="42" t="str">
        <f aca="false">IF(Basis="Compa-ratio",L55,M55)</f>
        <v/>
      </c>
      <c r="O55" s="44" t="str">
        <f aca="false">IF(ISNUMBER(N55),IFERROR(MATCH(N55,Matrix!$C$9:$G$9,1),1),"")</f>
        <v/>
      </c>
      <c r="P55" s="45" t="str">
        <f aca="false">IF(COUNTA($A55:$F55)=0,"",IF(Q55="","Y","N"))</f>
        <v/>
      </c>
      <c r="Q55" s="46" t="str">
        <f aca="false">IF(COUNTA($A55:$F55)=0,"",IF($A55="","ID missing",IF(TRIM($F55)="Exclude","Excluded by plan status",IF(AND(TRIM($F55)&lt;&gt;"",TRIM($F55)&lt;&gt;"Include"),"Plan status not valid (use Include or Exclude)",IF(NOT(ISNUMBER($C55)),"Hire date missing or not a date",IF($C55&gt;Cutoff,"Hired after cutoff",IF(NOT(ISNUMBER($E55)),"Salary missing or not a number",IF($E55&lt;=0,"Salary missing or not a number",IF(OR(NOT(ISNUMBER(I55)),NOT(ISNUMBER(J55)),NOT(ISNUMBER(K55))),"Grade not found in Ranges",IF($D55="","Rating missing",IF($D55="NR","Not rated (NR)",IF(NOT(ISNUMBER(MATCH($D55,Matrix!$A$14:$A$18,0))),"Rating not valid (use 1 to 5 or NR)",IF(NOT(ISNUMBER(O55)),"Band not found (check range and limits)","")))))))))))))</f>
        <v/>
      </c>
      <c r="R55" s="47" t="str">
        <f aca="false">IF($P55="Y",INDEX(Matrix!$C$14:$G$18,MATCH($D55,Matrix!$A$14:$A$18,0),$O55),IF($P55="N",0,""))</f>
        <v/>
      </c>
      <c r="S55" s="47" t="str">
        <f aca="false">IF($P55="Y",IF(AND(ISNUMBER($G55),$G55&gt;=0,$G55&lt;=1),$G55,$R55),IF($P55="N",0,""))</f>
        <v/>
      </c>
      <c r="T55" s="48" t="str">
        <f aca="false">IF($P55&lt;&gt;"Y",IF($P55="N",0,""),IF(ProrateMethod="None",1,IF($C55&lt;=PeriodStart,1,IF(ProrateMethod="Daily",MAX(0,MIN(1,(PeriodEnd-$C55+1)/(PeriodEnd-PeriodStart+1))),MAX(0,MIN(1,((YEAR(PeriodEnd)-YEAR($C55))*12+MONTH(PeriodEnd)-MONTH($C55)+1-IF(DAY($C55)&gt;MonthCutDay,1,0))/PeriodMonths))))))</f>
        <v/>
      </c>
      <c r="U55" s="47" t="str">
        <f aca="false">IF($P55="","",$S55*$T55)</f>
        <v/>
      </c>
      <c r="V55" s="49" t="str">
        <f aca="false">IF($P55="","",IF(ISNUMBER($E55),$E55,0)*$R55)</f>
        <v/>
      </c>
      <c r="W55" s="49" t="str">
        <f aca="false">IF($P55="","",IF(ISNUMBER($E55),$E55,0)*$S55)</f>
        <v/>
      </c>
      <c r="X55" s="49" t="str">
        <f aca="false">IF($P55="","",IF(ISNUMBER($E55),$E55,0)*$U55)</f>
        <v/>
      </c>
      <c r="Y55" s="49" t="str">
        <f aca="false">IF($P55="","",IF(AND(CapAtMax="Yes",$P55="Y"),MAX(0,MIN($X55,$K55-$E55)),$X55))</f>
        <v/>
      </c>
      <c r="Z55" s="41" t="str">
        <f aca="false">IF(OR($P55="",NOT(ISNUMBER($E55))),"",$E55+$Y55)</f>
        <v/>
      </c>
      <c r="AA55" s="42" t="str">
        <f aca="false">IF(AND(ISNUMBER(Z55),ISNUMBER(J55)),IF(J55&gt;0,Z55/J55,""),"")</f>
        <v/>
      </c>
      <c r="AB55" s="46" t="str">
        <f aca="false">IF($P55="","",TRIM(IF(AND($P55="Y",ISNUMBER(K55),ISNUMBER(Z55)),IF(Z55&gt;K55,"Above range max. ",""),"")&amp;IF(AND($P55="Y",ISNUMBER($X55),ISNUMBER($Y55)),IF($X55-$Y55&gt;0.005,"Capped at range max. ",""),"")&amp;IF(AND(AND(ISNUMBER($G55),$G55&gt;=0,$G55&lt;=1),$H55=""),"Override needs a reason. ","")&amp;IF(AND(AND(ISNUMBER($G55),$G55&gt;=0,$G55&lt;=1),$P55&lt;&gt;"Y"),"Override ignored. ","")&amp;IF(AND($G55&lt;&gt;"",NOT(AND(ISNUMBER($G55),$G55&gt;=0,$G55&lt;=1))),"Override not valid, ignored. ","")&amp;IF(AND($A55&lt;&gt;"",COUNTIF($A$5:$A$254,$A55)&gt;1),"Duplicate ID. ","")))</f>
        <v/>
      </c>
    </row>
    <row r="56" customFormat="false" ht="15" hidden="false" customHeight="false" outlineLevel="0" collapsed="false">
      <c r="A56" s="18"/>
      <c r="B56" s="38"/>
      <c r="C56" s="39"/>
      <c r="D56" s="38"/>
      <c r="E56" s="19"/>
      <c r="F56" s="38"/>
      <c r="G56" s="40"/>
      <c r="H56" s="18"/>
      <c r="I56" s="41" t="str">
        <f aca="false">IF(COUNTA($A56:$F56)=0,"",IF($B56="","",IFERROR(INDEX(Ranges!$B$5:$B$16,MATCH($B56,Ranges!$A$5:$A$16,0)),"")))</f>
        <v/>
      </c>
      <c r="J56" s="41" t="str">
        <f aca="false">IF(COUNTA($A56:$F56)=0,"",IF($B56="","",IFERROR(INDEX(Ranges!$C$5:$C$16,MATCH($B56,Ranges!$A$5:$A$16,0)),"")))</f>
        <v/>
      </c>
      <c r="K56" s="41" t="str">
        <f aca="false">IF(COUNTA($A56:$F56)=0,"",IF($B56="","",IFERROR(INDEX(Ranges!$D$5:$D$16,MATCH($B56,Ranges!$A$5:$A$16,0)),"")))</f>
        <v/>
      </c>
      <c r="L56" s="42" t="str">
        <f aca="false">IF(OR(NOT(ISNUMBER($E56)),NOT(ISNUMBER(J56))),"",IF(J56&gt;0,$E56/J56,""))</f>
        <v/>
      </c>
      <c r="M56" s="43" t="str">
        <f aca="false">IF(OR(NOT(ISNUMBER($E56)),NOT(ISNUMBER(I56)),NOT(ISNUMBER(K56))),"",IF(K56&gt;I56,($E56-I56)/(K56-I56),""))</f>
        <v/>
      </c>
      <c r="N56" s="42" t="str">
        <f aca="false">IF(Basis="Compa-ratio",L56,M56)</f>
        <v/>
      </c>
      <c r="O56" s="44" t="str">
        <f aca="false">IF(ISNUMBER(N56),IFERROR(MATCH(N56,Matrix!$C$9:$G$9,1),1),"")</f>
        <v/>
      </c>
      <c r="P56" s="45" t="str">
        <f aca="false">IF(COUNTA($A56:$F56)=0,"",IF(Q56="","Y","N"))</f>
        <v/>
      </c>
      <c r="Q56" s="46" t="str">
        <f aca="false">IF(COUNTA($A56:$F56)=0,"",IF($A56="","ID missing",IF(TRIM($F56)="Exclude","Excluded by plan status",IF(AND(TRIM($F56)&lt;&gt;"",TRIM($F56)&lt;&gt;"Include"),"Plan status not valid (use Include or Exclude)",IF(NOT(ISNUMBER($C56)),"Hire date missing or not a date",IF($C56&gt;Cutoff,"Hired after cutoff",IF(NOT(ISNUMBER($E56)),"Salary missing or not a number",IF($E56&lt;=0,"Salary missing or not a number",IF(OR(NOT(ISNUMBER(I56)),NOT(ISNUMBER(J56)),NOT(ISNUMBER(K56))),"Grade not found in Ranges",IF($D56="","Rating missing",IF($D56="NR","Not rated (NR)",IF(NOT(ISNUMBER(MATCH($D56,Matrix!$A$14:$A$18,0))),"Rating not valid (use 1 to 5 or NR)",IF(NOT(ISNUMBER(O56)),"Band not found (check range and limits)","")))))))))))))</f>
        <v/>
      </c>
      <c r="R56" s="47" t="str">
        <f aca="false">IF($P56="Y",INDEX(Matrix!$C$14:$G$18,MATCH($D56,Matrix!$A$14:$A$18,0),$O56),IF($P56="N",0,""))</f>
        <v/>
      </c>
      <c r="S56" s="47" t="str">
        <f aca="false">IF($P56="Y",IF(AND(ISNUMBER($G56),$G56&gt;=0,$G56&lt;=1),$G56,$R56),IF($P56="N",0,""))</f>
        <v/>
      </c>
      <c r="T56" s="48" t="str">
        <f aca="false">IF($P56&lt;&gt;"Y",IF($P56="N",0,""),IF(ProrateMethod="None",1,IF($C56&lt;=PeriodStart,1,IF(ProrateMethod="Daily",MAX(0,MIN(1,(PeriodEnd-$C56+1)/(PeriodEnd-PeriodStart+1))),MAX(0,MIN(1,((YEAR(PeriodEnd)-YEAR($C56))*12+MONTH(PeriodEnd)-MONTH($C56)+1-IF(DAY($C56)&gt;MonthCutDay,1,0))/PeriodMonths))))))</f>
        <v/>
      </c>
      <c r="U56" s="47" t="str">
        <f aca="false">IF($P56="","",$S56*$T56)</f>
        <v/>
      </c>
      <c r="V56" s="49" t="str">
        <f aca="false">IF($P56="","",IF(ISNUMBER($E56),$E56,0)*$R56)</f>
        <v/>
      </c>
      <c r="W56" s="49" t="str">
        <f aca="false">IF($P56="","",IF(ISNUMBER($E56),$E56,0)*$S56)</f>
        <v/>
      </c>
      <c r="X56" s="49" t="str">
        <f aca="false">IF($P56="","",IF(ISNUMBER($E56),$E56,0)*$U56)</f>
        <v/>
      </c>
      <c r="Y56" s="49" t="str">
        <f aca="false">IF($P56="","",IF(AND(CapAtMax="Yes",$P56="Y"),MAX(0,MIN($X56,$K56-$E56)),$X56))</f>
        <v/>
      </c>
      <c r="Z56" s="41" t="str">
        <f aca="false">IF(OR($P56="",NOT(ISNUMBER($E56))),"",$E56+$Y56)</f>
        <v/>
      </c>
      <c r="AA56" s="42" t="str">
        <f aca="false">IF(AND(ISNUMBER(Z56),ISNUMBER(J56)),IF(J56&gt;0,Z56/J56,""),"")</f>
        <v/>
      </c>
      <c r="AB56" s="46" t="str">
        <f aca="false">IF($P56="","",TRIM(IF(AND($P56="Y",ISNUMBER(K56),ISNUMBER(Z56)),IF(Z56&gt;K56,"Above range max. ",""),"")&amp;IF(AND($P56="Y",ISNUMBER($X56),ISNUMBER($Y56)),IF($X56-$Y56&gt;0.005,"Capped at range max. ",""),"")&amp;IF(AND(AND(ISNUMBER($G56),$G56&gt;=0,$G56&lt;=1),$H56=""),"Override needs a reason. ","")&amp;IF(AND(AND(ISNUMBER($G56),$G56&gt;=0,$G56&lt;=1),$P56&lt;&gt;"Y"),"Override ignored. ","")&amp;IF(AND($G56&lt;&gt;"",NOT(AND(ISNUMBER($G56),$G56&gt;=0,$G56&lt;=1))),"Override not valid, ignored. ","")&amp;IF(AND($A56&lt;&gt;"",COUNTIF($A$5:$A$254,$A56)&gt;1),"Duplicate ID. ","")))</f>
        <v/>
      </c>
    </row>
    <row r="57" customFormat="false" ht="15" hidden="false" customHeight="false" outlineLevel="0" collapsed="false">
      <c r="A57" s="18"/>
      <c r="B57" s="38"/>
      <c r="C57" s="39"/>
      <c r="D57" s="38"/>
      <c r="E57" s="19"/>
      <c r="F57" s="38"/>
      <c r="G57" s="40"/>
      <c r="H57" s="18"/>
      <c r="I57" s="41" t="str">
        <f aca="false">IF(COUNTA($A57:$F57)=0,"",IF($B57="","",IFERROR(INDEX(Ranges!$B$5:$B$16,MATCH($B57,Ranges!$A$5:$A$16,0)),"")))</f>
        <v/>
      </c>
      <c r="J57" s="41" t="str">
        <f aca="false">IF(COUNTA($A57:$F57)=0,"",IF($B57="","",IFERROR(INDEX(Ranges!$C$5:$C$16,MATCH($B57,Ranges!$A$5:$A$16,0)),"")))</f>
        <v/>
      </c>
      <c r="K57" s="41" t="str">
        <f aca="false">IF(COUNTA($A57:$F57)=0,"",IF($B57="","",IFERROR(INDEX(Ranges!$D$5:$D$16,MATCH($B57,Ranges!$A$5:$A$16,0)),"")))</f>
        <v/>
      </c>
      <c r="L57" s="42" t="str">
        <f aca="false">IF(OR(NOT(ISNUMBER($E57)),NOT(ISNUMBER(J57))),"",IF(J57&gt;0,$E57/J57,""))</f>
        <v/>
      </c>
      <c r="M57" s="43" t="str">
        <f aca="false">IF(OR(NOT(ISNUMBER($E57)),NOT(ISNUMBER(I57)),NOT(ISNUMBER(K57))),"",IF(K57&gt;I57,($E57-I57)/(K57-I57),""))</f>
        <v/>
      </c>
      <c r="N57" s="42" t="str">
        <f aca="false">IF(Basis="Compa-ratio",L57,M57)</f>
        <v/>
      </c>
      <c r="O57" s="44" t="str">
        <f aca="false">IF(ISNUMBER(N57),IFERROR(MATCH(N57,Matrix!$C$9:$G$9,1),1),"")</f>
        <v/>
      </c>
      <c r="P57" s="45" t="str">
        <f aca="false">IF(COUNTA($A57:$F57)=0,"",IF(Q57="","Y","N"))</f>
        <v/>
      </c>
      <c r="Q57" s="46" t="str">
        <f aca="false">IF(COUNTA($A57:$F57)=0,"",IF($A57="","ID missing",IF(TRIM($F57)="Exclude","Excluded by plan status",IF(AND(TRIM($F57)&lt;&gt;"",TRIM($F57)&lt;&gt;"Include"),"Plan status not valid (use Include or Exclude)",IF(NOT(ISNUMBER($C57)),"Hire date missing or not a date",IF($C57&gt;Cutoff,"Hired after cutoff",IF(NOT(ISNUMBER($E57)),"Salary missing or not a number",IF($E57&lt;=0,"Salary missing or not a number",IF(OR(NOT(ISNUMBER(I57)),NOT(ISNUMBER(J57)),NOT(ISNUMBER(K57))),"Grade not found in Ranges",IF($D57="","Rating missing",IF($D57="NR","Not rated (NR)",IF(NOT(ISNUMBER(MATCH($D57,Matrix!$A$14:$A$18,0))),"Rating not valid (use 1 to 5 or NR)",IF(NOT(ISNUMBER(O57)),"Band not found (check range and limits)","")))))))))))))</f>
        <v/>
      </c>
      <c r="R57" s="47" t="str">
        <f aca="false">IF($P57="Y",INDEX(Matrix!$C$14:$G$18,MATCH($D57,Matrix!$A$14:$A$18,0),$O57),IF($P57="N",0,""))</f>
        <v/>
      </c>
      <c r="S57" s="47" t="str">
        <f aca="false">IF($P57="Y",IF(AND(ISNUMBER($G57),$G57&gt;=0,$G57&lt;=1),$G57,$R57),IF($P57="N",0,""))</f>
        <v/>
      </c>
      <c r="T57" s="48" t="str">
        <f aca="false">IF($P57&lt;&gt;"Y",IF($P57="N",0,""),IF(ProrateMethod="None",1,IF($C57&lt;=PeriodStart,1,IF(ProrateMethod="Daily",MAX(0,MIN(1,(PeriodEnd-$C57+1)/(PeriodEnd-PeriodStart+1))),MAX(0,MIN(1,((YEAR(PeriodEnd)-YEAR($C57))*12+MONTH(PeriodEnd)-MONTH($C57)+1-IF(DAY($C57)&gt;MonthCutDay,1,0))/PeriodMonths))))))</f>
        <v/>
      </c>
      <c r="U57" s="47" t="str">
        <f aca="false">IF($P57="","",$S57*$T57)</f>
        <v/>
      </c>
      <c r="V57" s="49" t="str">
        <f aca="false">IF($P57="","",IF(ISNUMBER($E57),$E57,0)*$R57)</f>
        <v/>
      </c>
      <c r="W57" s="49" t="str">
        <f aca="false">IF($P57="","",IF(ISNUMBER($E57),$E57,0)*$S57)</f>
        <v/>
      </c>
      <c r="X57" s="49" t="str">
        <f aca="false">IF($P57="","",IF(ISNUMBER($E57),$E57,0)*$U57)</f>
        <v/>
      </c>
      <c r="Y57" s="49" t="str">
        <f aca="false">IF($P57="","",IF(AND(CapAtMax="Yes",$P57="Y"),MAX(0,MIN($X57,$K57-$E57)),$X57))</f>
        <v/>
      </c>
      <c r="Z57" s="41" t="str">
        <f aca="false">IF(OR($P57="",NOT(ISNUMBER($E57))),"",$E57+$Y57)</f>
        <v/>
      </c>
      <c r="AA57" s="42" t="str">
        <f aca="false">IF(AND(ISNUMBER(Z57),ISNUMBER(J57)),IF(J57&gt;0,Z57/J57,""),"")</f>
        <v/>
      </c>
      <c r="AB57" s="46" t="str">
        <f aca="false">IF($P57="","",TRIM(IF(AND($P57="Y",ISNUMBER(K57),ISNUMBER(Z57)),IF(Z57&gt;K57,"Above range max. ",""),"")&amp;IF(AND($P57="Y",ISNUMBER($X57),ISNUMBER($Y57)),IF($X57-$Y57&gt;0.005,"Capped at range max. ",""),"")&amp;IF(AND(AND(ISNUMBER($G57),$G57&gt;=0,$G57&lt;=1),$H57=""),"Override needs a reason. ","")&amp;IF(AND(AND(ISNUMBER($G57),$G57&gt;=0,$G57&lt;=1),$P57&lt;&gt;"Y"),"Override ignored. ","")&amp;IF(AND($G57&lt;&gt;"",NOT(AND(ISNUMBER($G57),$G57&gt;=0,$G57&lt;=1))),"Override not valid, ignored. ","")&amp;IF(AND($A57&lt;&gt;"",COUNTIF($A$5:$A$254,$A57)&gt;1),"Duplicate ID. ","")))</f>
        <v/>
      </c>
    </row>
    <row r="58" customFormat="false" ht="15" hidden="false" customHeight="false" outlineLevel="0" collapsed="false">
      <c r="A58" s="18"/>
      <c r="B58" s="38"/>
      <c r="C58" s="39"/>
      <c r="D58" s="38"/>
      <c r="E58" s="19"/>
      <c r="F58" s="38"/>
      <c r="G58" s="40"/>
      <c r="H58" s="18"/>
      <c r="I58" s="41" t="str">
        <f aca="false">IF(COUNTA($A58:$F58)=0,"",IF($B58="","",IFERROR(INDEX(Ranges!$B$5:$B$16,MATCH($B58,Ranges!$A$5:$A$16,0)),"")))</f>
        <v/>
      </c>
      <c r="J58" s="41" t="str">
        <f aca="false">IF(COUNTA($A58:$F58)=0,"",IF($B58="","",IFERROR(INDEX(Ranges!$C$5:$C$16,MATCH($B58,Ranges!$A$5:$A$16,0)),"")))</f>
        <v/>
      </c>
      <c r="K58" s="41" t="str">
        <f aca="false">IF(COUNTA($A58:$F58)=0,"",IF($B58="","",IFERROR(INDEX(Ranges!$D$5:$D$16,MATCH($B58,Ranges!$A$5:$A$16,0)),"")))</f>
        <v/>
      </c>
      <c r="L58" s="42" t="str">
        <f aca="false">IF(OR(NOT(ISNUMBER($E58)),NOT(ISNUMBER(J58))),"",IF(J58&gt;0,$E58/J58,""))</f>
        <v/>
      </c>
      <c r="M58" s="43" t="str">
        <f aca="false">IF(OR(NOT(ISNUMBER($E58)),NOT(ISNUMBER(I58)),NOT(ISNUMBER(K58))),"",IF(K58&gt;I58,($E58-I58)/(K58-I58),""))</f>
        <v/>
      </c>
      <c r="N58" s="42" t="str">
        <f aca="false">IF(Basis="Compa-ratio",L58,M58)</f>
        <v/>
      </c>
      <c r="O58" s="44" t="str">
        <f aca="false">IF(ISNUMBER(N58),IFERROR(MATCH(N58,Matrix!$C$9:$G$9,1),1),"")</f>
        <v/>
      </c>
      <c r="P58" s="45" t="str">
        <f aca="false">IF(COUNTA($A58:$F58)=0,"",IF(Q58="","Y","N"))</f>
        <v/>
      </c>
      <c r="Q58" s="46" t="str">
        <f aca="false">IF(COUNTA($A58:$F58)=0,"",IF($A58="","ID missing",IF(TRIM($F58)="Exclude","Excluded by plan status",IF(AND(TRIM($F58)&lt;&gt;"",TRIM($F58)&lt;&gt;"Include"),"Plan status not valid (use Include or Exclude)",IF(NOT(ISNUMBER($C58)),"Hire date missing or not a date",IF($C58&gt;Cutoff,"Hired after cutoff",IF(NOT(ISNUMBER($E58)),"Salary missing or not a number",IF($E58&lt;=0,"Salary missing or not a number",IF(OR(NOT(ISNUMBER(I58)),NOT(ISNUMBER(J58)),NOT(ISNUMBER(K58))),"Grade not found in Ranges",IF($D58="","Rating missing",IF($D58="NR","Not rated (NR)",IF(NOT(ISNUMBER(MATCH($D58,Matrix!$A$14:$A$18,0))),"Rating not valid (use 1 to 5 or NR)",IF(NOT(ISNUMBER(O58)),"Band not found (check range and limits)","")))))))))))))</f>
        <v/>
      </c>
      <c r="R58" s="47" t="str">
        <f aca="false">IF($P58="Y",INDEX(Matrix!$C$14:$G$18,MATCH($D58,Matrix!$A$14:$A$18,0),$O58),IF($P58="N",0,""))</f>
        <v/>
      </c>
      <c r="S58" s="47" t="str">
        <f aca="false">IF($P58="Y",IF(AND(ISNUMBER($G58),$G58&gt;=0,$G58&lt;=1),$G58,$R58),IF($P58="N",0,""))</f>
        <v/>
      </c>
      <c r="T58" s="48" t="str">
        <f aca="false">IF($P58&lt;&gt;"Y",IF($P58="N",0,""),IF(ProrateMethod="None",1,IF($C58&lt;=PeriodStart,1,IF(ProrateMethod="Daily",MAX(0,MIN(1,(PeriodEnd-$C58+1)/(PeriodEnd-PeriodStart+1))),MAX(0,MIN(1,((YEAR(PeriodEnd)-YEAR($C58))*12+MONTH(PeriodEnd)-MONTH($C58)+1-IF(DAY($C58)&gt;MonthCutDay,1,0))/PeriodMonths))))))</f>
        <v/>
      </c>
      <c r="U58" s="47" t="str">
        <f aca="false">IF($P58="","",$S58*$T58)</f>
        <v/>
      </c>
      <c r="V58" s="49" t="str">
        <f aca="false">IF($P58="","",IF(ISNUMBER($E58),$E58,0)*$R58)</f>
        <v/>
      </c>
      <c r="W58" s="49" t="str">
        <f aca="false">IF($P58="","",IF(ISNUMBER($E58),$E58,0)*$S58)</f>
        <v/>
      </c>
      <c r="X58" s="49" t="str">
        <f aca="false">IF($P58="","",IF(ISNUMBER($E58),$E58,0)*$U58)</f>
        <v/>
      </c>
      <c r="Y58" s="49" t="str">
        <f aca="false">IF($P58="","",IF(AND(CapAtMax="Yes",$P58="Y"),MAX(0,MIN($X58,$K58-$E58)),$X58))</f>
        <v/>
      </c>
      <c r="Z58" s="41" t="str">
        <f aca="false">IF(OR($P58="",NOT(ISNUMBER($E58))),"",$E58+$Y58)</f>
        <v/>
      </c>
      <c r="AA58" s="42" t="str">
        <f aca="false">IF(AND(ISNUMBER(Z58),ISNUMBER(J58)),IF(J58&gt;0,Z58/J58,""),"")</f>
        <v/>
      </c>
      <c r="AB58" s="46" t="str">
        <f aca="false">IF($P58="","",TRIM(IF(AND($P58="Y",ISNUMBER(K58),ISNUMBER(Z58)),IF(Z58&gt;K58,"Above range max. ",""),"")&amp;IF(AND($P58="Y",ISNUMBER($X58),ISNUMBER($Y58)),IF($X58-$Y58&gt;0.005,"Capped at range max. ",""),"")&amp;IF(AND(AND(ISNUMBER($G58),$G58&gt;=0,$G58&lt;=1),$H58=""),"Override needs a reason. ","")&amp;IF(AND(AND(ISNUMBER($G58),$G58&gt;=0,$G58&lt;=1),$P58&lt;&gt;"Y"),"Override ignored. ","")&amp;IF(AND($G58&lt;&gt;"",NOT(AND(ISNUMBER($G58),$G58&gt;=0,$G58&lt;=1))),"Override not valid, ignored. ","")&amp;IF(AND($A58&lt;&gt;"",COUNTIF($A$5:$A$254,$A58)&gt;1),"Duplicate ID. ","")))</f>
        <v/>
      </c>
    </row>
    <row r="59" customFormat="false" ht="15" hidden="false" customHeight="false" outlineLevel="0" collapsed="false">
      <c r="A59" s="18"/>
      <c r="B59" s="38"/>
      <c r="C59" s="39"/>
      <c r="D59" s="38"/>
      <c r="E59" s="19"/>
      <c r="F59" s="38"/>
      <c r="G59" s="40"/>
      <c r="H59" s="18"/>
      <c r="I59" s="41" t="str">
        <f aca="false">IF(COUNTA($A59:$F59)=0,"",IF($B59="","",IFERROR(INDEX(Ranges!$B$5:$B$16,MATCH($B59,Ranges!$A$5:$A$16,0)),"")))</f>
        <v/>
      </c>
      <c r="J59" s="41" t="str">
        <f aca="false">IF(COUNTA($A59:$F59)=0,"",IF($B59="","",IFERROR(INDEX(Ranges!$C$5:$C$16,MATCH($B59,Ranges!$A$5:$A$16,0)),"")))</f>
        <v/>
      </c>
      <c r="K59" s="41" t="str">
        <f aca="false">IF(COUNTA($A59:$F59)=0,"",IF($B59="","",IFERROR(INDEX(Ranges!$D$5:$D$16,MATCH($B59,Ranges!$A$5:$A$16,0)),"")))</f>
        <v/>
      </c>
      <c r="L59" s="42" t="str">
        <f aca="false">IF(OR(NOT(ISNUMBER($E59)),NOT(ISNUMBER(J59))),"",IF(J59&gt;0,$E59/J59,""))</f>
        <v/>
      </c>
      <c r="M59" s="43" t="str">
        <f aca="false">IF(OR(NOT(ISNUMBER($E59)),NOT(ISNUMBER(I59)),NOT(ISNUMBER(K59))),"",IF(K59&gt;I59,($E59-I59)/(K59-I59),""))</f>
        <v/>
      </c>
      <c r="N59" s="42" t="str">
        <f aca="false">IF(Basis="Compa-ratio",L59,M59)</f>
        <v/>
      </c>
      <c r="O59" s="44" t="str">
        <f aca="false">IF(ISNUMBER(N59),IFERROR(MATCH(N59,Matrix!$C$9:$G$9,1),1),"")</f>
        <v/>
      </c>
      <c r="P59" s="45" t="str">
        <f aca="false">IF(COUNTA($A59:$F59)=0,"",IF(Q59="","Y","N"))</f>
        <v/>
      </c>
      <c r="Q59" s="46" t="str">
        <f aca="false">IF(COUNTA($A59:$F59)=0,"",IF($A59="","ID missing",IF(TRIM($F59)="Exclude","Excluded by plan status",IF(AND(TRIM($F59)&lt;&gt;"",TRIM($F59)&lt;&gt;"Include"),"Plan status not valid (use Include or Exclude)",IF(NOT(ISNUMBER($C59)),"Hire date missing or not a date",IF($C59&gt;Cutoff,"Hired after cutoff",IF(NOT(ISNUMBER($E59)),"Salary missing or not a number",IF($E59&lt;=0,"Salary missing or not a number",IF(OR(NOT(ISNUMBER(I59)),NOT(ISNUMBER(J59)),NOT(ISNUMBER(K59))),"Grade not found in Ranges",IF($D59="","Rating missing",IF($D59="NR","Not rated (NR)",IF(NOT(ISNUMBER(MATCH($D59,Matrix!$A$14:$A$18,0))),"Rating not valid (use 1 to 5 or NR)",IF(NOT(ISNUMBER(O59)),"Band not found (check range and limits)","")))))))))))))</f>
        <v/>
      </c>
      <c r="R59" s="47" t="str">
        <f aca="false">IF($P59="Y",INDEX(Matrix!$C$14:$G$18,MATCH($D59,Matrix!$A$14:$A$18,0),$O59),IF($P59="N",0,""))</f>
        <v/>
      </c>
      <c r="S59" s="47" t="str">
        <f aca="false">IF($P59="Y",IF(AND(ISNUMBER($G59),$G59&gt;=0,$G59&lt;=1),$G59,$R59),IF($P59="N",0,""))</f>
        <v/>
      </c>
      <c r="T59" s="48" t="str">
        <f aca="false">IF($P59&lt;&gt;"Y",IF($P59="N",0,""),IF(ProrateMethod="None",1,IF($C59&lt;=PeriodStart,1,IF(ProrateMethod="Daily",MAX(0,MIN(1,(PeriodEnd-$C59+1)/(PeriodEnd-PeriodStart+1))),MAX(0,MIN(1,((YEAR(PeriodEnd)-YEAR($C59))*12+MONTH(PeriodEnd)-MONTH($C59)+1-IF(DAY($C59)&gt;MonthCutDay,1,0))/PeriodMonths))))))</f>
        <v/>
      </c>
      <c r="U59" s="47" t="str">
        <f aca="false">IF($P59="","",$S59*$T59)</f>
        <v/>
      </c>
      <c r="V59" s="49" t="str">
        <f aca="false">IF($P59="","",IF(ISNUMBER($E59),$E59,0)*$R59)</f>
        <v/>
      </c>
      <c r="W59" s="49" t="str">
        <f aca="false">IF($P59="","",IF(ISNUMBER($E59),$E59,0)*$S59)</f>
        <v/>
      </c>
      <c r="X59" s="49" t="str">
        <f aca="false">IF($P59="","",IF(ISNUMBER($E59),$E59,0)*$U59)</f>
        <v/>
      </c>
      <c r="Y59" s="49" t="str">
        <f aca="false">IF($P59="","",IF(AND(CapAtMax="Yes",$P59="Y"),MAX(0,MIN($X59,$K59-$E59)),$X59))</f>
        <v/>
      </c>
      <c r="Z59" s="41" t="str">
        <f aca="false">IF(OR($P59="",NOT(ISNUMBER($E59))),"",$E59+$Y59)</f>
        <v/>
      </c>
      <c r="AA59" s="42" t="str">
        <f aca="false">IF(AND(ISNUMBER(Z59),ISNUMBER(J59)),IF(J59&gt;0,Z59/J59,""),"")</f>
        <v/>
      </c>
      <c r="AB59" s="46" t="str">
        <f aca="false">IF($P59="","",TRIM(IF(AND($P59="Y",ISNUMBER(K59),ISNUMBER(Z59)),IF(Z59&gt;K59,"Above range max. ",""),"")&amp;IF(AND($P59="Y",ISNUMBER($X59),ISNUMBER($Y59)),IF($X59-$Y59&gt;0.005,"Capped at range max. ",""),"")&amp;IF(AND(AND(ISNUMBER($G59),$G59&gt;=0,$G59&lt;=1),$H59=""),"Override needs a reason. ","")&amp;IF(AND(AND(ISNUMBER($G59),$G59&gt;=0,$G59&lt;=1),$P59&lt;&gt;"Y"),"Override ignored. ","")&amp;IF(AND($G59&lt;&gt;"",NOT(AND(ISNUMBER($G59),$G59&gt;=0,$G59&lt;=1))),"Override not valid, ignored. ","")&amp;IF(AND($A59&lt;&gt;"",COUNTIF($A$5:$A$254,$A59)&gt;1),"Duplicate ID. ","")))</f>
        <v/>
      </c>
    </row>
    <row r="60" customFormat="false" ht="15" hidden="false" customHeight="false" outlineLevel="0" collapsed="false">
      <c r="A60" s="18"/>
      <c r="B60" s="38"/>
      <c r="C60" s="39"/>
      <c r="D60" s="38"/>
      <c r="E60" s="19"/>
      <c r="F60" s="38"/>
      <c r="G60" s="40"/>
      <c r="H60" s="18"/>
      <c r="I60" s="41" t="str">
        <f aca="false">IF(COUNTA($A60:$F60)=0,"",IF($B60="","",IFERROR(INDEX(Ranges!$B$5:$B$16,MATCH($B60,Ranges!$A$5:$A$16,0)),"")))</f>
        <v/>
      </c>
      <c r="J60" s="41" t="str">
        <f aca="false">IF(COUNTA($A60:$F60)=0,"",IF($B60="","",IFERROR(INDEX(Ranges!$C$5:$C$16,MATCH($B60,Ranges!$A$5:$A$16,0)),"")))</f>
        <v/>
      </c>
      <c r="K60" s="41" t="str">
        <f aca="false">IF(COUNTA($A60:$F60)=0,"",IF($B60="","",IFERROR(INDEX(Ranges!$D$5:$D$16,MATCH($B60,Ranges!$A$5:$A$16,0)),"")))</f>
        <v/>
      </c>
      <c r="L60" s="42" t="str">
        <f aca="false">IF(OR(NOT(ISNUMBER($E60)),NOT(ISNUMBER(J60))),"",IF(J60&gt;0,$E60/J60,""))</f>
        <v/>
      </c>
      <c r="M60" s="43" t="str">
        <f aca="false">IF(OR(NOT(ISNUMBER($E60)),NOT(ISNUMBER(I60)),NOT(ISNUMBER(K60))),"",IF(K60&gt;I60,($E60-I60)/(K60-I60),""))</f>
        <v/>
      </c>
      <c r="N60" s="42" t="str">
        <f aca="false">IF(Basis="Compa-ratio",L60,M60)</f>
        <v/>
      </c>
      <c r="O60" s="44" t="str">
        <f aca="false">IF(ISNUMBER(N60),IFERROR(MATCH(N60,Matrix!$C$9:$G$9,1),1),"")</f>
        <v/>
      </c>
      <c r="P60" s="45" t="str">
        <f aca="false">IF(COUNTA($A60:$F60)=0,"",IF(Q60="","Y","N"))</f>
        <v/>
      </c>
      <c r="Q60" s="46" t="str">
        <f aca="false">IF(COUNTA($A60:$F60)=0,"",IF($A60="","ID missing",IF(TRIM($F60)="Exclude","Excluded by plan status",IF(AND(TRIM($F60)&lt;&gt;"",TRIM($F60)&lt;&gt;"Include"),"Plan status not valid (use Include or Exclude)",IF(NOT(ISNUMBER($C60)),"Hire date missing or not a date",IF($C60&gt;Cutoff,"Hired after cutoff",IF(NOT(ISNUMBER($E60)),"Salary missing or not a number",IF($E60&lt;=0,"Salary missing or not a number",IF(OR(NOT(ISNUMBER(I60)),NOT(ISNUMBER(J60)),NOT(ISNUMBER(K60))),"Grade not found in Ranges",IF($D60="","Rating missing",IF($D60="NR","Not rated (NR)",IF(NOT(ISNUMBER(MATCH($D60,Matrix!$A$14:$A$18,0))),"Rating not valid (use 1 to 5 or NR)",IF(NOT(ISNUMBER(O60)),"Band not found (check range and limits)","")))))))))))))</f>
        <v/>
      </c>
      <c r="R60" s="47" t="str">
        <f aca="false">IF($P60="Y",INDEX(Matrix!$C$14:$G$18,MATCH($D60,Matrix!$A$14:$A$18,0),$O60),IF($P60="N",0,""))</f>
        <v/>
      </c>
      <c r="S60" s="47" t="str">
        <f aca="false">IF($P60="Y",IF(AND(ISNUMBER($G60),$G60&gt;=0,$G60&lt;=1),$G60,$R60),IF($P60="N",0,""))</f>
        <v/>
      </c>
      <c r="T60" s="48" t="str">
        <f aca="false">IF($P60&lt;&gt;"Y",IF($P60="N",0,""),IF(ProrateMethod="None",1,IF($C60&lt;=PeriodStart,1,IF(ProrateMethod="Daily",MAX(0,MIN(1,(PeriodEnd-$C60+1)/(PeriodEnd-PeriodStart+1))),MAX(0,MIN(1,((YEAR(PeriodEnd)-YEAR($C60))*12+MONTH(PeriodEnd)-MONTH($C60)+1-IF(DAY($C60)&gt;MonthCutDay,1,0))/PeriodMonths))))))</f>
        <v/>
      </c>
      <c r="U60" s="47" t="str">
        <f aca="false">IF($P60="","",$S60*$T60)</f>
        <v/>
      </c>
      <c r="V60" s="49" t="str">
        <f aca="false">IF($P60="","",IF(ISNUMBER($E60),$E60,0)*$R60)</f>
        <v/>
      </c>
      <c r="W60" s="49" t="str">
        <f aca="false">IF($P60="","",IF(ISNUMBER($E60),$E60,0)*$S60)</f>
        <v/>
      </c>
      <c r="X60" s="49" t="str">
        <f aca="false">IF($P60="","",IF(ISNUMBER($E60),$E60,0)*$U60)</f>
        <v/>
      </c>
      <c r="Y60" s="49" t="str">
        <f aca="false">IF($P60="","",IF(AND(CapAtMax="Yes",$P60="Y"),MAX(0,MIN($X60,$K60-$E60)),$X60))</f>
        <v/>
      </c>
      <c r="Z60" s="41" t="str">
        <f aca="false">IF(OR($P60="",NOT(ISNUMBER($E60))),"",$E60+$Y60)</f>
        <v/>
      </c>
      <c r="AA60" s="42" t="str">
        <f aca="false">IF(AND(ISNUMBER(Z60),ISNUMBER(J60)),IF(J60&gt;0,Z60/J60,""),"")</f>
        <v/>
      </c>
      <c r="AB60" s="46" t="str">
        <f aca="false">IF($P60="","",TRIM(IF(AND($P60="Y",ISNUMBER(K60),ISNUMBER(Z60)),IF(Z60&gt;K60,"Above range max. ",""),"")&amp;IF(AND($P60="Y",ISNUMBER($X60),ISNUMBER($Y60)),IF($X60-$Y60&gt;0.005,"Capped at range max. ",""),"")&amp;IF(AND(AND(ISNUMBER($G60),$G60&gt;=0,$G60&lt;=1),$H60=""),"Override needs a reason. ","")&amp;IF(AND(AND(ISNUMBER($G60),$G60&gt;=0,$G60&lt;=1),$P60&lt;&gt;"Y"),"Override ignored. ","")&amp;IF(AND($G60&lt;&gt;"",NOT(AND(ISNUMBER($G60),$G60&gt;=0,$G60&lt;=1))),"Override not valid, ignored. ","")&amp;IF(AND($A60&lt;&gt;"",COUNTIF($A$5:$A$254,$A60)&gt;1),"Duplicate ID. ","")))</f>
        <v/>
      </c>
    </row>
    <row r="61" customFormat="false" ht="15" hidden="false" customHeight="false" outlineLevel="0" collapsed="false">
      <c r="A61" s="18"/>
      <c r="B61" s="38"/>
      <c r="C61" s="39"/>
      <c r="D61" s="38"/>
      <c r="E61" s="19"/>
      <c r="F61" s="38"/>
      <c r="G61" s="40"/>
      <c r="H61" s="18"/>
      <c r="I61" s="41" t="str">
        <f aca="false">IF(COUNTA($A61:$F61)=0,"",IF($B61="","",IFERROR(INDEX(Ranges!$B$5:$B$16,MATCH($B61,Ranges!$A$5:$A$16,0)),"")))</f>
        <v/>
      </c>
      <c r="J61" s="41" t="str">
        <f aca="false">IF(COUNTA($A61:$F61)=0,"",IF($B61="","",IFERROR(INDEX(Ranges!$C$5:$C$16,MATCH($B61,Ranges!$A$5:$A$16,0)),"")))</f>
        <v/>
      </c>
      <c r="K61" s="41" t="str">
        <f aca="false">IF(COUNTA($A61:$F61)=0,"",IF($B61="","",IFERROR(INDEX(Ranges!$D$5:$D$16,MATCH($B61,Ranges!$A$5:$A$16,0)),"")))</f>
        <v/>
      </c>
      <c r="L61" s="42" t="str">
        <f aca="false">IF(OR(NOT(ISNUMBER($E61)),NOT(ISNUMBER(J61))),"",IF(J61&gt;0,$E61/J61,""))</f>
        <v/>
      </c>
      <c r="M61" s="43" t="str">
        <f aca="false">IF(OR(NOT(ISNUMBER($E61)),NOT(ISNUMBER(I61)),NOT(ISNUMBER(K61))),"",IF(K61&gt;I61,($E61-I61)/(K61-I61),""))</f>
        <v/>
      </c>
      <c r="N61" s="42" t="str">
        <f aca="false">IF(Basis="Compa-ratio",L61,M61)</f>
        <v/>
      </c>
      <c r="O61" s="44" t="str">
        <f aca="false">IF(ISNUMBER(N61),IFERROR(MATCH(N61,Matrix!$C$9:$G$9,1),1),"")</f>
        <v/>
      </c>
      <c r="P61" s="45" t="str">
        <f aca="false">IF(COUNTA($A61:$F61)=0,"",IF(Q61="","Y","N"))</f>
        <v/>
      </c>
      <c r="Q61" s="46" t="str">
        <f aca="false">IF(COUNTA($A61:$F61)=0,"",IF($A61="","ID missing",IF(TRIM($F61)="Exclude","Excluded by plan status",IF(AND(TRIM($F61)&lt;&gt;"",TRIM($F61)&lt;&gt;"Include"),"Plan status not valid (use Include or Exclude)",IF(NOT(ISNUMBER($C61)),"Hire date missing or not a date",IF($C61&gt;Cutoff,"Hired after cutoff",IF(NOT(ISNUMBER($E61)),"Salary missing or not a number",IF($E61&lt;=0,"Salary missing or not a number",IF(OR(NOT(ISNUMBER(I61)),NOT(ISNUMBER(J61)),NOT(ISNUMBER(K61))),"Grade not found in Ranges",IF($D61="","Rating missing",IF($D61="NR","Not rated (NR)",IF(NOT(ISNUMBER(MATCH($D61,Matrix!$A$14:$A$18,0))),"Rating not valid (use 1 to 5 or NR)",IF(NOT(ISNUMBER(O61)),"Band not found (check range and limits)","")))))))))))))</f>
        <v/>
      </c>
      <c r="R61" s="47" t="str">
        <f aca="false">IF($P61="Y",INDEX(Matrix!$C$14:$G$18,MATCH($D61,Matrix!$A$14:$A$18,0),$O61),IF($P61="N",0,""))</f>
        <v/>
      </c>
      <c r="S61" s="47" t="str">
        <f aca="false">IF($P61="Y",IF(AND(ISNUMBER($G61),$G61&gt;=0,$G61&lt;=1),$G61,$R61),IF($P61="N",0,""))</f>
        <v/>
      </c>
      <c r="T61" s="48" t="str">
        <f aca="false">IF($P61&lt;&gt;"Y",IF($P61="N",0,""),IF(ProrateMethod="None",1,IF($C61&lt;=PeriodStart,1,IF(ProrateMethod="Daily",MAX(0,MIN(1,(PeriodEnd-$C61+1)/(PeriodEnd-PeriodStart+1))),MAX(0,MIN(1,((YEAR(PeriodEnd)-YEAR($C61))*12+MONTH(PeriodEnd)-MONTH($C61)+1-IF(DAY($C61)&gt;MonthCutDay,1,0))/PeriodMonths))))))</f>
        <v/>
      </c>
      <c r="U61" s="47" t="str">
        <f aca="false">IF($P61="","",$S61*$T61)</f>
        <v/>
      </c>
      <c r="V61" s="49" t="str">
        <f aca="false">IF($P61="","",IF(ISNUMBER($E61),$E61,0)*$R61)</f>
        <v/>
      </c>
      <c r="W61" s="49" t="str">
        <f aca="false">IF($P61="","",IF(ISNUMBER($E61),$E61,0)*$S61)</f>
        <v/>
      </c>
      <c r="X61" s="49" t="str">
        <f aca="false">IF($P61="","",IF(ISNUMBER($E61),$E61,0)*$U61)</f>
        <v/>
      </c>
      <c r="Y61" s="49" t="str">
        <f aca="false">IF($P61="","",IF(AND(CapAtMax="Yes",$P61="Y"),MAX(0,MIN($X61,$K61-$E61)),$X61))</f>
        <v/>
      </c>
      <c r="Z61" s="41" t="str">
        <f aca="false">IF(OR($P61="",NOT(ISNUMBER($E61))),"",$E61+$Y61)</f>
        <v/>
      </c>
      <c r="AA61" s="42" t="str">
        <f aca="false">IF(AND(ISNUMBER(Z61),ISNUMBER(J61)),IF(J61&gt;0,Z61/J61,""),"")</f>
        <v/>
      </c>
      <c r="AB61" s="46" t="str">
        <f aca="false">IF($P61="","",TRIM(IF(AND($P61="Y",ISNUMBER(K61),ISNUMBER(Z61)),IF(Z61&gt;K61,"Above range max. ",""),"")&amp;IF(AND($P61="Y",ISNUMBER($X61),ISNUMBER($Y61)),IF($X61-$Y61&gt;0.005,"Capped at range max. ",""),"")&amp;IF(AND(AND(ISNUMBER($G61),$G61&gt;=0,$G61&lt;=1),$H61=""),"Override needs a reason. ","")&amp;IF(AND(AND(ISNUMBER($G61),$G61&gt;=0,$G61&lt;=1),$P61&lt;&gt;"Y"),"Override ignored. ","")&amp;IF(AND($G61&lt;&gt;"",NOT(AND(ISNUMBER($G61),$G61&gt;=0,$G61&lt;=1))),"Override not valid, ignored. ","")&amp;IF(AND($A61&lt;&gt;"",COUNTIF($A$5:$A$254,$A61)&gt;1),"Duplicate ID. ","")))</f>
        <v/>
      </c>
    </row>
    <row r="62" customFormat="false" ht="15" hidden="false" customHeight="false" outlineLevel="0" collapsed="false">
      <c r="A62" s="18"/>
      <c r="B62" s="38"/>
      <c r="C62" s="39"/>
      <c r="D62" s="38"/>
      <c r="E62" s="19"/>
      <c r="F62" s="38"/>
      <c r="G62" s="40"/>
      <c r="H62" s="18"/>
      <c r="I62" s="41" t="str">
        <f aca="false">IF(COUNTA($A62:$F62)=0,"",IF($B62="","",IFERROR(INDEX(Ranges!$B$5:$B$16,MATCH($B62,Ranges!$A$5:$A$16,0)),"")))</f>
        <v/>
      </c>
      <c r="J62" s="41" t="str">
        <f aca="false">IF(COUNTA($A62:$F62)=0,"",IF($B62="","",IFERROR(INDEX(Ranges!$C$5:$C$16,MATCH($B62,Ranges!$A$5:$A$16,0)),"")))</f>
        <v/>
      </c>
      <c r="K62" s="41" t="str">
        <f aca="false">IF(COUNTA($A62:$F62)=0,"",IF($B62="","",IFERROR(INDEX(Ranges!$D$5:$D$16,MATCH($B62,Ranges!$A$5:$A$16,0)),"")))</f>
        <v/>
      </c>
      <c r="L62" s="42" t="str">
        <f aca="false">IF(OR(NOT(ISNUMBER($E62)),NOT(ISNUMBER(J62))),"",IF(J62&gt;0,$E62/J62,""))</f>
        <v/>
      </c>
      <c r="M62" s="43" t="str">
        <f aca="false">IF(OR(NOT(ISNUMBER($E62)),NOT(ISNUMBER(I62)),NOT(ISNUMBER(K62))),"",IF(K62&gt;I62,($E62-I62)/(K62-I62),""))</f>
        <v/>
      </c>
      <c r="N62" s="42" t="str">
        <f aca="false">IF(Basis="Compa-ratio",L62,M62)</f>
        <v/>
      </c>
      <c r="O62" s="44" t="str">
        <f aca="false">IF(ISNUMBER(N62),IFERROR(MATCH(N62,Matrix!$C$9:$G$9,1),1),"")</f>
        <v/>
      </c>
      <c r="P62" s="45" t="str">
        <f aca="false">IF(COUNTA($A62:$F62)=0,"",IF(Q62="","Y","N"))</f>
        <v/>
      </c>
      <c r="Q62" s="46" t="str">
        <f aca="false">IF(COUNTA($A62:$F62)=0,"",IF($A62="","ID missing",IF(TRIM($F62)="Exclude","Excluded by plan status",IF(AND(TRIM($F62)&lt;&gt;"",TRIM($F62)&lt;&gt;"Include"),"Plan status not valid (use Include or Exclude)",IF(NOT(ISNUMBER($C62)),"Hire date missing or not a date",IF($C62&gt;Cutoff,"Hired after cutoff",IF(NOT(ISNUMBER($E62)),"Salary missing or not a number",IF($E62&lt;=0,"Salary missing or not a number",IF(OR(NOT(ISNUMBER(I62)),NOT(ISNUMBER(J62)),NOT(ISNUMBER(K62))),"Grade not found in Ranges",IF($D62="","Rating missing",IF($D62="NR","Not rated (NR)",IF(NOT(ISNUMBER(MATCH($D62,Matrix!$A$14:$A$18,0))),"Rating not valid (use 1 to 5 or NR)",IF(NOT(ISNUMBER(O62)),"Band not found (check range and limits)","")))))))))))))</f>
        <v/>
      </c>
      <c r="R62" s="47" t="str">
        <f aca="false">IF($P62="Y",INDEX(Matrix!$C$14:$G$18,MATCH($D62,Matrix!$A$14:$A$18,0),$O62),IF($P62="N",0,""))</f>
        <v/>
      </c>
      <c r="S62" s="47" t="str">
        <f aca="false">IF($P62="Y",IF(AND(ISNUMBER($G62),$G62&gt;=0,$G62&lt;=1),$G62,$R62),IF($P62="N",0,""))</f>
        <v/>
      </c>
      <c r="T62" s="48" t="str">
        <f aca="false">IF($P62&lt;&gt;"Y",IF($P62="N",0,""),IF(ProrateMethod="None",1,IF($C62&lt;=PeriodStart,1,IF(ProrateMethod="Daily",MAX(0,MIN(1,(PeriodEnd-$C62+1)/(PeriodEnd-PeriodStart+1))),MAX(0,MIN(1,((YEAR(PeriodEnd)-YEAR($C62))*12+MONTH(PeriodEnd)-MONTH($C62)+1-IF(DAY($C62)&gt;MonthCutDay,1,0))/PeriodMonths))))))</f>
        <v/>
      </c>
      <c r="U62" s="47" t="str">
        <f aca="false">IF($P62="","",$S62*$T62)</f>
        <v/>
      </c>
      <c r="V62" s="49" t="str">
        <f aca="false">IF($P62="","",IF(ISNUMBER($E62),$E62,0)*$R62)</f>
        <v/>
      </c>
      <c r="W62" s="49" t="str">
        <f aca="false">IF($P62="","",IF(ISNUMBER($E62),$E62,0)*$S62)</f>
        <v/>
      </c>
      <c r="X62" s="49" t="str">
        <f aca="false">IF($P62="","",IF(ISNUMBER($E62),$E62,0)*$U62)</f>
        <v/>
      </c>
      <c r="Y62" s="49" t="str">
        <f aca="false">IF($P62="","",IF(AND(CapAtMax="Yes",$P62="Y"),MAX(0,MIN($X62,$K62-$E62)),$X62))</f>
        <v/>
      </c>
      <c r="Z62" s="41" t="str">
        <f aca="false">IF(OR($P62="",NOT(ISNUMBER($E62))),"",$E62+$Y62)</f>
        <v/>
      </c>
      <c r="AA62" s="42" t="str">
        <f aca="false">IF(AND(ISNUMBER(Z62),ISNUMBER(J62)),IF(J62&gt;0,Z62/J62,""),"")</f>
        <v/>
      </c>
      <c r="AB62" s="46" t="str">
        <f aca="false">IF($P62="","",TRIM(IF(AND($P62="Y",ISNUMBER(K62),ISNUMBER(Z62)),IF(Z62&gt;K62,"Above range max. ",""),"")&amp;IF(AND($P62="Y",ISNUMBER($X62),ISNUMBER($Y62)),IF($X62-$Y62&gt;0.005,"Capped at range max. ",""),"")&amp;IF(AND(AND(ISNUMBER($G62),$G62&gt;=0,$G62&lt;=1),$H62=""),"Override needs a reason. ","")&amp;IF(AND(AND(ISNUMBER($G62),$G62&gt;=0,$G62&lt;=1),$P62&lt;&gt;"Y"),"Override ignored. ","")&amp;IF(AND($G62&lt;&gt;"",NOT(AND(ISNUMBER($G62),$G62&gt;=0,$G62&lt;=1))),"Override not valid, ignored. ","")&amp;IF(AND($A62&lt;&gt;"",COUNTIF($A$5:$A$254,$A62)&gt;1),"Duplicate ID. ","")))</f>
        <v/>
      </c>
    </row>
    <row r="63" customFormat="false" ht="15" hidden="false" customHeight="false" outlineLevel="0" collapsed="false">
      <c r="A63" s="18"/>
      <c r="B63" s="38"/>
      <c r="C63" s="39"/>
      <c r="D63" s="38"/>
      <c r="E63" s="19"/>
      <c r="F63" s="38"/>
      <c r="G63" s="40"/>
      <c r="H63" s="18"/>
      <c r="I63" s="41" t="str">
        <f aca="false">IF(COUNTA($A63:$F63)=0,"",IF($B63="","",IFERROR(INDEX(Ranges!$B$5:$B$16,MATCH($B63,Ranges!$A$5:$A$16,0)),"")))</f>
        <v/>
      </c>
      <c r="J63" s="41" t="str">
        <f aca="false">IF(COUNTA($A63:$F63)=0,"",IF($B63="","",IFERROR(INDEX(Ranges!$C$5:$C$16,MATCH($B63,Ranges!$A$5:$A$16,0)),"")))</f>
        <v/>
      </c>
      <c r="K63" s="41" t="str">
        <f aca="false">IF(COUNTA($A63:$F63)=0,"",IF($B63="","",IFERROR(INDEX(Ranges!$D$5:$D$16,MATCH($B63,Ranges!$A$5:$A$16,0)),"")))</f>
        <v/>
      </c>
      <c r="L63" s="42" t="str">
        <f aca="false">IF(OR(NOT(ISNUMBER($E63)),NOT(ISNUMBER(J63))),"",IF(J63&gt;0,$E63/J63,""))</f>
        <v/>
      </c>
      <c r="M63" s="43" t="str">
        <f aca="false">IF(OR(NOT(ISNUMBER($E63)),NOT(ISNUMBER(I63)),NOT(ISNUMBER(K63))),"",IF(K63&gt;I63,($E63-I63)/(K63-I63),""))</f>
        <v/>
      </c>
      <c r="N63" s="42" t="str">
        <f aca="false">IF(Basis="Compa-ratio",L63,M63)</f>
        <v/>
      </c>
      <c r="O63" s="44" t="str">
        <f aca="false">IF(ISNUMBER(N63),IFERROR(MATCH(N63,Matrix!$C$9:$G$9,1),1),"")</f>
        <v/>
      </c>
      <c r="P63" s="45" t="str">
        <f aca="false">IF(COUNTA($A63:$F63)=0,"",IF(Q63="","Y","N"))</f>
        <v/>
      </c>
      <c r="Q63" s="46" t="str">
        <f aca="false">IF(COUNTA($A63:$F63)=0,"",IF($A63="","ID missing",IF(TRIM($F63)="Exclude","Excluded by plan status",IF(AND(TRIM($F63)&lt;&gt;"",TRIM($F63)&lt;&gt;"Include"),"Plan status not valid (use Include or Exclude)",IF(NOT(ISNUMBER($C63)),"Hire date missing or not a date",IF($C63&gt;Cutoff,"Hired after cutoff",IF(NOT(ISNUMBER($E63)),"Salary missing or not a number",IF($E63&lt;=0,"Salary missing or not a number",IF(OR(NOT(ISNUMBER(I63)),NOT(ISNUMBER(J63)),NOT(ISNUMBER(K63))),"Grade not found in Ranges",IF($D63="","Rating missing",IF($D63="NR","Not rated (NR)",IF(NOT(ISNUMBER(MATCH($D63,Matrix!$A$14:$A$18,0))),"Rating not valid (use 1 to 5 or NR)",IF(NOT(ISNUMBER(O63)),"Band not found (check range and limits)","")))))))))))))</f>
        <v/>
      </c>
      <c r="R63" s="47" t="str">
        <f aca="false">IF($P63="Y",INDEX(Matrix!$C$14:$G$18,MATCH($D63,Matrix!$A$14:$A$18,0),$O63),IF($P63="N",0,""))</f>
        <v/>
      </c>
      <c r="S63" s="47" t="str">
        <f aca="false">IF($P63="Y",IF(AND(ISNUMBER($G63),$G63&gt;=0,$G63&lt;=1),$G63,$R63),IF($P63="N",0,""))</f>
        <v/>
      </c>
      <c r="T63" s="48" t="str">
        <f aca="false">IF($P63&lt;&gt;"Y",IF($P63="N",0,""),IF(ProrateMethod="None",1,IF($C63&lt;=PeriodStart,1,IF(ProrateMethod="Daily",MAX(0,MIN(1,(PeriodEnd-$C63+1)/(PeriodEnd-PeriodStart+1))),MAX(0,MIN(1,((YEAR(PeriodEnd)-YEAR($C63))*12+MONTH(PeriodEnd)-MONTH($C63)+1-IF(DAY($C63)&gt;MonthCutDay,1,0))/PeriodMonths))))))</f>
        <v/>
      </c>
      <c r="U63" s="47" t="str">
        <f aca="false">IF($P63="","",$S63*$T63)</f>
        <v/>
      </c>
      <c r="V63" s="49" t="str">
        <f aca="false">IF($P63="","",IF(ISNUMBER($E63),$E63,0)*$R63)</f>
        <v/>
      </c>
      <c r="W63" s="49" t="str">
        <f aca="false">IF($P63="","",IF(ISNUMBER($E63),$E63,0)*$S63)</f>
        <v/>
      </c>
      <c r="X63" s="49" t="str">
        <f aca="false">IF($P63="","",IF(ISNUMBER($E63),$E63,0)*$U63)</f>
        <v/>
      </c>
      <c r="Y63" s="49" t="str">
        <f aca="false">IF($P63="","",IF(AND(CapAtMax="Yes",$P63="Y"),MAX(0,MIN($X63,$K63-$E63)),$X63))</f>
        <v/>
      </c>
      <c r="Z63" s="41" t="str">
        <f aca="false">IF(OR($P63="",NOT(ISNUMBER($E63))),"",$E63+$Y63)</f>
        <v/>
      </c>
      <c r="AA63" s="42" t="str">
        <f aca="false">IF(AND(ISNUMBER(Z63),ISNUMBER(J63)),IF(J63&gt;0,Z63/J63,""),"")</f>
        <v/>
      </c>
      <c r="AB63" s="46" t="str">
        <f aca="false">IF($P63="","",TRIM(IF(AND($P63="Y",ISNUMBER(K63),ISNUMBER(Z63)),IF(Z63&gt;K63,"Above range max. ",""),"")&amp;IF(AND($P63="Y",ISNUMBER($X63),ISNUMBER($Y63)),IF($X63-$Y63&gt;0.005,"Capped at range max. ",""),"")&amp;IF(AND(AND(ISNUMBER($G63),$G63&gt;=0,$G63&lt;=1),$H63=""),"Override needs a reason. ","")&amp;IF(AND(AND(ISNUMBER($G63),$G63&gt;=0,$G63&lt;=1),$P63&lt;&gt;"Y"),"Override ignored. ","")&amp;IF(AND($G63&lt;&gt;"",NOT(AND(ISNUMBER($G63),$G63&gt;=0,$G63&lt;=1))),"Override not valid, ignored. ","")&amp;IF(AND($A63&lt;&gt;"",COUNTIF($A$5:$A$254,$A63)&gt;1),"Duplicate ID. ","")))</f>
        <v/>
      </c>
    </row>
    <row r="64" customFormat="false" ht="15" hidden="false" customHeight="false" outlineLevel="0" collapsed="false">
      <c r="A64" s="18"/>
      <c r="B64" s="38"/>
      <c r="C64" s="39"/>
      <c r="D64" s="38"/>
      <c r="E64" s="19"/>
      <c r="F64" s="38"/>
      <c r="G64" s="40"/>
      <c r="H64" s="18"/>
      <c r="I64" s="41" t="str">
        <f aca="false">IF(COUNTA($A64:$F64)=0,"",IF($B64="","",IFERROR(INDEX(Ranges!$B$5:$B$16,MATCH($B64,Ranges!$A$5:$A$16,0)),"")))</f>
        <v/>
      </c>
      <c r="J64" s="41" t="str">
        <f aca="false">IF(COUNTA($A64:$F64)=0,"",IF($B64="","",IFERROR(INDEX(Ranges!$C$5:$C$16,MATCH($B64,Ranges!$A$5:$A$16,0)),"")))</f>
        <v/>
      </c>
      <c r="K64" s="41" t="str">
        <f aca="false">IF(COUNTA($A64:$F64)=0,"",IF($B64="","",IFERROR(INDEX(Ranges!$D$5:$D$16,MATCH($B64,Ranges!$A$5:$A$16,0)),"")))</f>
        <v/>
      </c>
      <c r="L64" s="42" t="str">
        <f aca="false">IF(OR(NOT(ISNUMBER($E64)),NOT(ISNUMBER(J64))),"",IF(J64&gt;0,$E64/J64,""))</f>
        <v/>
      </c>
      <c r="M64" s="43" t="str">
        <f aca="false">IF(OR(NOT(ISNUMBER($E64)),NOT(ISNUMBER(I64)),NOT(ISNUMBER(K64))),"",IF(K64&gt;I64,($E64-I64)/(K64-I64),""))</f>
        <v/>
      </c>
      <c r="N64" s="42" t="str">
        <f aca="false">IF(Basis="Compa-ratio",L64,M64)</f>
        <v/>
      </c>
      <c r="O64" s="44" t="str">
        <f aca="false">IF(ISNUMBER(N64),IFERROR(MATCH(N64,Matrix!$C$9:$G$9,1),1),"")</f>
        <v/>
      </c>
      <c r="P64" s="45" t="str">
        <f aca="false">IF(COUNTA($A64:$F64)=0,"",IF(Q64="","Y","N"))</f>
        <v/>
      </c>
      <c r="Q64" s="46" t="str">
        <f aca="false">IF(COUNTA($A64:$F64)=0,"",IF($A64="","ID missing",IF(TRIM($F64)="Exclude","Excluded by plan status",IF(AND(TRIM($F64)&lt;&gt;"",TRIM($F64)&lt;&gt;"Include"),"Plan status not valid (use Include or Exclude)",IF(NOT(ISNUMBER($C64)),"Hire date missing or not a date",IF($C64&gt;Cutoff,"Hired after cutoff",IF(NOT(ISNUMBER($E64)),"Salary missing or not a number",IF($E64&lt;=0,"Salary missing or not a number",IF(OR(NOT(ISNUMBER(I64)),NOT(ISNUMBER(J64)),NOT(ISNUMBER(K64))),"Grade not found in Ranges",IF($D64="","Rating missing",IF($D64="NR","Not rated (NR)",IF(NOT(ISNUMBER(MATCH($D64,Matrix!$A$14:$A$18,0))),"Rating not valid (use 1 to 5 or NR)",IF(NOT(ISNUMBER(O64)),"Band not found (check range and limits)","")))))))))))))</f>
        <v/>
      </c>
      <c r="R64" s="47" t="str">
        <f aca="false">IF($P64="Y",INDEX(Matrix!$C$14:$G$18,MATCH($D64,Matrix!$A$14:$A$18,0),$O64),IF($P64="N",0,""))</f>
        <v/>
      </c>
      <c r="S64" s="47" t="str">
        <f aca="false">IF($P64="Y",IF(AND(ISNUMBER($G64),$G64&gt;=0,$G64&lt;=1),$G64,$R64),IF($P64="N",0,""))</f>
        <v/>
      </c>
      <c r="T64" s="48" t="str">
        <f aca="false">IF($P64&lt;&gt;"Y",IF($P64="N",0,""),IF(ProrateMethod="None",1,IF($C64&lt;=PeriodStart,1,IF(ProrateMethod="Daily",MAX(0,MIN(1,(PeriodEnd-$C64+1)/(PeriodEnd-PeriodStart+1))),MAX(0,MIN(1,((YEAR(PeriodEnd)-YEAR($C64))*12+MONTH(PeriodEnd)-MONTH($C64)+1-IF(DAY($C64)&gt;MonthCutDay,1,0))/PeriodMonths))))))</f>
        <v/>
      </c>
      <c r="U64" s="47" t="str">
        <f aca="false">IF($P64="","",$S64*$T64)</f>
        <v/>
      </c>
      <c r="V64" s="49" t="str">
        <f aca="false">IF($P64="","",IF(ISNUMBER($E64),$E64,0)*$R64)</f>
        <v/>
      </c>
      <c r="W64" s="49" t="str">
        <f aca="false">IF($P64="","",IF(ISNUMBER($E64),$E64,0)*$S64)</f>
        <v/>
      </c>
      <c r="X64" s="49" t="str">
        <f aca="false">IF($P64="","",IF(ISNUMBER($E64),$E64,0)*$U64)</f>
        <v/>
      </c>
      <c r="Y64" s="49" t="str">
        <f aca="false">IF($P64="","",IF(AND(CapAtMax="Yes",$P64="Y"),MAX(0,MIN($X64,$K64-$E64)),$X64))</f>
        <v/>
      </c>
      <c r="Z64" s="41" t="str">
        <f aca="false">IF(OR($P64="",NOT(ISNUMBER($E64))),"",$E64+$Y64)</f>
        <v/>
      </c>
      <c r="AA64" s="42" t="str">
        <f aca="false">IF(AND(ISNUMBER(Z64),ISNUMBER(J64)),IF(J64&gt;0,Z64/J64,""),"")</f>
        <v/>
      </c>
      <c r="AB64" s="46" t="str">
        <f aca="false">IF($P64="","",TRIM(IF(AND($P64="Y",ISNUMBER(K64),ISNUMBER(Z64)),IF(Z64&gt;K64,"Above range max. ",""),"")&amp;IF(AND($P64="Y",ISNUMBER($X64),ISNUMBER($Y64)),IF($X64-$Y64&gt;0.005,"Capped at range max. ",""),"")&amp;IF(AND(AND(ISNUMBER($G64),$G64&gt;=0,$G64&lt;=1),$H64=""),"Override needs a reason. ","")&amp;IF(AND(AND(ISNUMBER($G64),$G64&gt;=0,$G64&lt;=1),$P64&lt;&gt;"Y"),"Override ignored. ","")&amp;IF(AND($G64&lt;&gt;"",NOT(AND(ISNUMBER($G64),$G64&gt;=0,$G64&lt;=1))),"Override not valid, ignored. ","")&amp;IF(AND($A64&lt;&gt;"",COUNTIF($A$5:$A$254,$A64)&gt;1),"Duplicate ID. ","")))</f>
        <v/>
      </c>
    </row>
    <row r="65" customFormat="false" ht="15" hidden="false" customHeight="false" outlineLevel="0" collapsed="false">
      <c r="A65" s="18"/>
      <c r="B65" s="38"/>
      <c r="C65" s="39"/>
      <c r="D65" s="38"/>
      <c r="E65" s="19"/>
      <c r="F65" s="38"/>
      <c r="G65" s="40"/>
      <c r="H65" s="18"/>
      <c r="I65" s="41" t="str">
        <f aca="false">IF(COUNTA($A65:$F65)=0,"",IF($B65="","",IFERROR(INDEX(Ranges!$B$5:$B$16,MATCH($B65,Ranges!$A$5:$A$16,0)),"")))</f>
        <v/>
      </c>
      <c r="J65" s="41" t="str">
        <f aca="false">IF(COUNTA($A65:$F65)=0,"",IF($B65="","",IFERROR(INDEX(Ranges!$C$5:$C$16,MATCH($B65,Ranges!$A$5:$A$16,0)),"")))</f>
        <v/>
      </c>
      <c r="K65" s="41" t="str">
        <f aca="false">IF(COUNTA($A65:$F65)=0,"",IF($B65="","",IFERROR(INDEX(Ranges!$D$5:$D$16,MATCH($B65,Ranges!$A$5:$A$16,0)),"")))</f>
        <v/>
      </c>
      <c r="L65" s="42" t="str">
        <f aca="false">IF(OR(NOT(ISNUMBER($E65)),NOT(ISNUMBER(J65))),"",IF(J65&gt;0,$E65/J65,""))</f>
        <v/>
      </c>
      <c r="M65" s="43" t="str">
        <f aca="false">IF(OR(NOT(ISNUMBER($E65)),NOT(ISNUMBER(I65)),NOT(ISNUMBER(K65))),"",IF(K65&gt;I65,($E65-I65)/(K65-I65),""))</f>
        <v/>
      </c>
      <c r="N65" s="42" t="str">
        <f aca="false">IF(Basis="Compa-ratio",L65,M65)</f>
        <v/>
      </c>
      <c r="O65" s="44" t="str">
        <f aca="false">IF(ISNUMBER(N65),IFERROR(MATCH(N65,Matrix!$C$9:$G$9,1),1),"")</f>
        <v/>
      </c>
      <c r="P65" s="45" t="str">
        <f aca="false">IF(COUNTA($A65:$F65)=0,"",IF(Q65="","Y","N"))</f>
        <v/>
      </c>
      <c r="Q65" s="46" t="str">
        <f aca="false">IF(COUNTA($A65:$F65)=0,"",IF($A65="","ID missing",IF(TRIM($F65)="Exclude","Excluded by plan status",IF(AND(TRIM($F65)&lt;&gt;"",TRIM($F65)&lt;&gt;"Include"),"Plan status not valid (use Include or Exclude)",IF(NOT(ISNUMBER($C65)),"Hire date missing or not a date",IF($C65&gt;Cutoff,"Hired after cutoff",IF(NOT(ISNUMBER($E65)),"Salary missing or not a number",IF($E65&lt;=0,"Salary missing or not a number",IF(OR(NOT(ISNUMBER(I65)),NOT(ISNUMBER(J65)),NOT(ISNUMBER(K65))),"Grade not found in Ranges",IF($D65="","Rating missing",IF($D65="NR","Not rated (NR)",IF(NOT(ISNUMBER(MATCH($D65,Matrix!$A$14:$A$18,0))),"Rating not valid (use 1 to 5 or NR)",IF(NOT(ISNUMBER(O65)),"Band not found (check range and limits)","")))))))))))))</f>
        <v/>
      </c>
      <c r="R65" s="47" t="str">
        <f aca="false">IF($P65="Y",INDEX(Matrix!$C$14:$G$18,MATCH($D65,Matrix!$A$14:$A$18,0),$O65),IF($P65="N",0,""))</f>
        <v/>
      </c>
      <c r="S65" s="47" t="str">
        <f aca="false">IF($P65="Y",IF(AND(ISNUMBER($G65),$G65&gt;=0,$G65&lt;=1),$G65,$R65),IF($P65="N",0,""))</f>
        <v/>
      </c>
      <c r="T65" s="48" t="str">
        <f aca="false">IF($P65&lt;&gt;"Y",IF($P65="N",0,""),IF(ProrateMethod="None",1,IF($C65&lt;=PeriodStart,1,IF(ProrateMethod="Daily",MAX(0,MIN(1,(PeriodEnd-$C65+1)/(PeriodEnd-PeriodStart+1))),MAX(0,MIN(1,((YEAR(PeriodEnd)-YEAR($C65))*12+MONTH(PeriodEnd)-MONTH($C65)+1-IF(DAY($C65)&gt;MonthCutDay,1,0))/PeriodMonths))))))</f>
        <v/>
      </c>
      <c r="U65" s="47" t="str">
        <f aca="false">IF($P65="","",$S65*$T65)</f>
        <v/>
      </c>
      <c r="V65" s="49" t="str">
        <f aca="false">IF($P65="","",IF(ISNUMBER($E65),$E65,0)*$R65)</f>
        <v/>
      </c>
      <c r="W65" s="49" t="str">
        <f aca="false">IF($P65="","",IF(ISNUMBER($E65),$E65,0)*$S65)</f>
        <v/>
      </c>
      <c r="X65" s="49" t="str">
        <f aca="false">IF($P65="","",IF(ISNUMBER($E65),$E65,0)*$U65)</f>
        <v/>
      </c>
      <c r="Y65" s="49" t="str">
        <f aca="false">IF($P65="","",IF(AND(CapAtMax="Yes",$P65="Y"),MAX(0,MIN($X65,$K65-$E65)),$X65))</f>
        <v/>
      </c>
      <c r="Z65" s="41" t="str">
        <f aca="false">IF(OR($P65="",NOT(ISNUMBER($E65))),"",$E65+$Y65)</f>
        <v/>
      </c>
      <c r="AA65" s="42" t="str">
        <f aca="false">IF(AND(ISNUMBER(Z65),ISNUMBER(J65)),IF(J65&gt;0,Z65/J65,""),"")</f>
        <v/>
      </c>
      <c r="AB65" s="46" t="str">
        <f aca="false">IF($P65="","",TRIM(IF(AND($P65="Y",ISNUMBER(K65),ISNUMBER(Z65)),IF(Z65&gt;K65,"Above range max. ",""),"")&amp;IF(AND($P65="Y",ISNUMBER($X65),ISNUMBER($Y65)),IF($X65-$Y65&gt;0.005,"Capped at range max. ",""),"")&amp;IF(AND(AND(ISNUMBER($G65),$G65&gt;=0,$G65&lt;=1),$H65=""),"Override needs a reason. ","")&amp;IF(AND(AND(ISNUMBER($G65),$G65&gt;=0,$G65&lt;=1),$P65&lt;&gt;"Y"),"Override ignored. ","")&amp;IF(AND($G65&lt;&gt;"",NOT(AND(ISNUMBER($G65),$G65&gt;=0,$G65&lt;=1))),"Override not valid, ignored. ","")&amp;IF(AND($A65&lt;&gt;"",COUNTIF($A$5:$A$254,$A65)&gt;1),"Duplicate ID. ","")))</f>
        <v/>
      </c>
    </row>
    <row r="66" customFormat="false" ht="15" hidden="false" customHeight="false" outlineLevel="0" collapsed="false">
      <c r="A66" s="18"/>
      <c r="B66" s="38"/>
      <c r="C66" s="39"/>
      <c r="D66" s="38"/>
      <c r="E66" s="19"/>
      <c r="F66" s="38"/>
      <c r="G66" s="40"/>
      <c r="H66" s="18"/>
      <c r="I66" s="41" t="str">
        <f aca="false">IF(COUNTA($A66:$F66)=0,"",IF($B66="","",IFERROR(INDEX(Ranges!$B$5:$B$16,MATCH($B66,Ranges!$A$5:$A$16,0)),"")))</f>
        <v/>
      </c>
      <c r="J66" s="41" t="str">
        <f aca="false">IF(COUNTA($A66:$F66)=0,"",IF($B66="","",IFERROR(INDEX(Ranges!$C$5:$C$16,MATCH($B66,Ranges!$A$5:$A$16,0)),"")))</f>
        <v/>
      </c>
      <c r="K66" s="41" t="str">
        <f aca="false">IF(COUNTA($A66:$F66)=0,"",IF($B66="","",IFERROR(INDEX(Ranges!$D$5:$D$16,MATCH($B66,Ranges!$A$5:$A$16,0)),"")))</f>
        <v/>
      </c>
      <c r="L66" s="42" t="str">
        <f aca="false">IF(OR(NOT(ISNUMBER($E66)),NOT(ISNUMBER(J66))),"",IF(J66&gt;0,$E66/J66,""))</f>
        <v/>
      </c>
      <c r="M66" s="43" t="str">
        <f aca="false">IF(OR(NOT(ISNUMBER($E66)),NOT(ISNUMBER(I66)),NOT(ISNUMBER(K66))),"",IF(K66&gt;I66,($E66-I66)/(K66-I66),""))</f>
        <v/>
      </c>
      <c r="N66" s="42" t="str">
        <f aca="false">IF(Basis="Compa-ratio",L66,M66)</f>
        <v/>
      </c>
      <c r="O66" s="44" t="str">
        <f aca="false">IF(ISNUMBER(N66),IFERROR(MATCH(N66,Matrix!$C$9:$G$9,1),1),"")</f>
        <v/>
      </c>
      <c r="P66" s="45" t="str">
        <f aca="false">IF(COUNTA($A66:$F66)=0,"",IF(Q66="","Y","N"))</f>
        <v/>
      </c>
      <c r="Q66" s="46" t="str">
        <f aca="false">IF(COUNTA($A66:$F66)=0,"",IF($A66="","ID missing",IF(TRIM($F66)="Exclude","Excluded by plan status",IF(AND(TRIM($F66)&lt;&gt;"",TRIM($F66)&lt;&gt;"Include"),"Plan status not valid (use Include or Exclude)",IF(NOT(ISNUMBER($C66)),"Hire date missing or not a date",IF($C66&gt;Cutoff,"Hired after cutoff",IF(NOT(ISNUMBER($E66)),"Salary missing or not a number",IF($E66&lt;=0,"Salary missing or not a number",IF(OR(NOT(ISNUMBER(I66)),NOT(ISNUMBER(J66)),NOT(ISNUMBER(K66))),"Grade not found in Ranges",IF($D66="","Rating missing",IF($D66="NR","Not rated (NR)",IF(NOT(ISNUMBER(MATCH($D66,Matrix!$A$14:$A$18,0))),"Rating not valid (use 1 to 5 or NR)",IF(NOT(ISNUMBER(O66)),"Band not found (check range and limits)","")))))))))))))</f>
        <v/>
      </c>
      <c r="R66" s="47" t="str">
        <f aca="false">IF($P66="Y",INDEX(Matrix!$C$14:$G$18,MATCH($D66,Matrix!$A$14:$A$18,0),$O66),IF($P66="N",0,""))</f>
        <v/>
      </c>
      <c r="S66" s="47" t="str">
        <f aca="false">IF($P66="Y",IF(AND(ISNUMBER($G66),$G66&gt;=0,$G66&lt;=1),$G66,$R66),IF($P66="N",0,""))</f>
        <v/>
      </c>
      <c r="T66" s="48" t="str">
        <f aca="false">IF($P66&lt;&gt;"Y",IF($P66="N",0,""),IF(ProrateMethod="None",1,IF($C66&lt;=PeriodStart,1,IF(ProrateMethod="Daily",MAX(0,MIN(1,(PeriodEnd-$C66+1)/(PeriodEnd-PeriodStart+1))),MAX(0,MIN(1,((YEAR(PeriodEnd)-YEAR($C66))*12+MONTH(PeriodEnd)-MONTH($C66)+1-IF(DAY($C66)&gt;MonthCutDay,1,0))/PeriodMonths))))))</f>
        <v/>
      </c>
      <c r="U66" s="47" t="str">
        <f aca="false">IF($P66="","",$S66*$T66)</f>
        <v/>
      </c>
      <c r="V66" s="49" t="str">
        <f aca="false">IF($P66="","",IF(ISNUMBER($E66),$E66,0)*$R66)</f>
        <v/>
      </c>
      <c r="W66" s="49" t="str">
        <f aca="false">IF($P66="","",IF(ISNUMBER($E66),$E66,0)*$S66)</f>
        <v/>
      </c>
      <c r="X66" s="49" t="str">
        <f aca="false">IF($P66="","",IF(ISNUMBER($E66),$E66,0)*$U66)</f>
        <v/>
      </c>
      <c r="Y66" s="49" t="str">
        <f aca="false">IF($P66="","",IF(AND(CapAtMax="Yes",$P66="Y"),MAX(0,MIN($X66,$K66-$E66)),$X66))</f>
        <v/>
      </c>
      <c r="Z66" s="41" t="str">
        <f aca="false">IF(OR($P66="",NOT(ISNUMBER($E66))),"",$E66+$Y66)</f>
        <v/>
      </c>
      <c r="AA66" s="42" t="str">
        <f aca="false">IF(AND(ISNUMBER(Z66),ISNUMBER(J66)),IF(J66&gt;0,Z66/J66,""),"")</f>
        <v/>
      </c>
      <c r="AB66" s="46" t="str">
        <f aca="false">IF($P66="","",TRIM(IF(AND($P66="Y",ISNUMBER(K66),ISNUMBER(Z66)),IF(Z66&gt;K66,"Above range max. ",""),"")&amp;IF(AND($P66="Y",ISNUMBER($X66),ISNUMBER($Y66)),IF($X66-$Y66&gt;0.005,"Capped at range max. ",""),"")&amp;IF(AND(AND(ISNUMBER($G66),$G66&gt;=0,$G66&lt;=1),$H66=""),"Override needs a reason. ","")&amp;IF(AND(AND(ISNUMBER($G66),$G66&gt;=0,$G66&lt;=1),$P66&lt;&gt;"Y"),"Override ignored. ","")&amp;IF(AND($G66&lt;&gt;"",NOT(AND(ISNUMBER($G66),$G66&gt;=0,$G66&lt;=1))),"Override not valid, ignored. ","")&amp;IF(AND($A66&lt;&gt;"",COUNTIF($A$5:$A$254,$A66)&gt;1),"Duplicate ID. ","")))</f>
        <v/>
      </c>
    </row>
    <row r="67" customFormat="false" ht="15" hidden="false" customHeight="false" outlineLevel="0" collapsed="false">
      <c r="A67" s="18"/>
      <c r="B67" s="38"/>
      <c r="C67" s="39"/>
      <c r="D67" s="38"/>
      <c r="E67" s="19"/>
      <c r="F67" s="38"/>
      <c r="G67" s="40"/>
      <c r="H67" s="18"/>
      <c r="I67" s="41" t="str">
        <f aca="false">IF(COUNTA($A67:$F67)=0,"",IF($B67="","",IFERROR(INDEX(Ranges!$B$5:$B$16,MATCH($B67,Ranges!$A$5:$A$16,0)),"")))</f>
        <v/>
      </c>
      <c r="J67" s="41" t="str">
        <f aca="false">IF(COUNTA($A67:$F67)=0,"",IF($B67="","",IFERROR(INDEX(Ranges!$C$5:$C$16,MATCH($B67,Ranges!$A$5:$A$16,0)),"")))</f>
        <v/>
      </c>
      <c r="K67" s="41" t="str">
        <f aca="false">IF(COUNTA($A67:$F67)=0,"",IF($B67="","",IFERROR(INDEX(Ranges!$D$5:$D$16,MATCH($B67,Ranges!$A$5:$A$16,0)),"")))</f>
        <v/>
      </c>
      <c r="L67" s="42" t="str">
        <f aca="false">IF(OR(NOT(ISNUMBER($E67)),NOT(ISNUMBER(J67))),"",IF(J67&gt;0,$E67/J67,""))</f>
        <v/>
      </c>
      <c r="M67" s="43" t="str">
        <f aca="false">IF(OR(NOT(ISNUMBER($E67)),NOT(ISNUMBER(I67)),NOT(ISNUMBER(K67))),"",IF(K67&gt;I67,($E67-I67)/(K67-I67),""))</f>
        <v/>
      </c>
      <c r="N67" s="42" t="str">
        <f aca="false">IF(Basis="Compa-ratio",L67,M67)</f>
        <v/>
      </c>
      <c r="O67" s="44" t="str">
        <f aca="false">IF(ISNUMBER(N67),IFERROR(MATCH(N67,Matrix!$C$9:$G$9,1),1),"")</f>
        <v/>
      </c>
      <c r="P67" s="45" t="str">
        <f aca="false">IF(COUNTA($A67:$F67)=0,"",IF(Q67="","Y","N"))</f>
        <v/>
      </c>
      <c r="Q67" s="46" t="str">
        <f aca="false">IF(COUNTA($A67:$F67)=0,"",IF($A67="","ID missing",IF(TRIM($F67)="Exclude","Excluded by plan status",IF(AND(TRIM($F67)&lt;&gt;"",TRIM($F67)&lt;&gt;"Include"),"Plan status not valid (use Include or Exclude)",IF(NOT(ISNUMBER($C67)),"Hire date missing or not a date",IF($C67&gt;Cutoff,"Hired after cutoff",IF(NOT(ISNUMBER($E67)),"Salary missing or not a number",IF($E67&lt;=0,"Salary missing or not a number",IF(OR(NOT(ISNUMBER(I67)),NOT(ISNUMBER(J67)),NOT(ISNUMBER(K67))),"Grade not found in Ranges",IF($D67="","Rating missing",IF($D67="NR","Not rated (NR)",IF(NOT(ISNUMBER(MATCH($D67,Matrix!$A$14:$A$18,0))),"Rating not valid (use 1 to 5 or NR)",IF(NOT(ISNUMBER(O67)),"Band not found (check range and limits)","")))))))))))))</f>
        <v/>
      </c>
      <c r="R67" s="47" t="str">
        <f aca="false">IF($P67="Y",INDEX(Matrix!$C$14:$G$18,MATCH($D67,Matrix!$A$14:$A$18,0),$O67),IF($P67="N",0,""))</f>
        <v/>
      </c>
      <c r="S67" s="47" t="str">
        <f aca="false">IF($P67="Y",IF(AND(ISNUMBER($G67),$G67&gt;=0,$G67&lt;=1),$G67,$R67),IF($P67="N",0,""))</f>
        <v/>
      </c>
      <c r="T67" s="48" t="str">
        <f aca="false">IF($P67&lt;&gt;"Y",IF($P67="N",0,""),IF(ProrateMethod="None",1,IF($C67&lt;=PeriodStart,1,IF(ProrateMethod="Daily",MAX(0,MIN(1,(PeriodEnd-$C67+1)/(PeriodEnd-PeriodStart+1))),MAX(0,MIN(1,((YEAR(PeriodEnd)-YEAR($C67))*12+MONTH(PeriodEnd)-MONTH($C67)+1-IF(DAY($C67)&gt;MonthCutDay,1,0))/PeriodMonths))))))</f>
        <v/>
      </c>
      <c r="U67" s="47" t="str">
        <f aca="false">IF($P67="","",$S67*$T67)</f>
        <v/>
      </c>
      <c r="V67" s="49" t="str">
        <f aca="false">IF($P67="","",IF(ISNUMBER($E67),$E67,0)*$R67)</f>
        <v/>
      </c>
      <c r="W67" s="49" t="str">
        <f aca="false">IF($P67="","",IF(ISNUMBER($E67),$E67,0)*$S67)</f>
        <v/>
      </c>
      <c r="X67" s="49" t="str">
        <f aca="false">IF($P67="","",IF(ISNUMBER($E67),$E67,0)*$U67)</f>
        <v/>
      </c>
      <c r="Y67" s="49" t="str">
        <f aca="false">IF($P67="","",IF(AND(CapAtMax="Yes",$P67="Y"),MAX(0,MIN($X67,$K67-$E67)),$X67))</f>
        <v/>
      </c>
      <c r="Z67" s="41" t="str">
        <f aca="false">IF(OR($P67="",NOT(ISNUMBER($E67))),"",$E67+$Y67)</f>
        <v/>
      </c>
      <c r="AA67" s="42" t="str">
        <f aca="false">IF(AND(ISNUMBER(Z67),ISNUMBER(J67)),IF(J67&gt;0,Z67/J67,""),"")</f>
        <v/>
      </c>
      <c r="AB67" s="46" t="str">
        <f aca="false">IF($P67="","",TRIM(IF(AND($P67="Y",ISNUMBER(K67),ISNUMBER(Z67)),IF(Z67&gt;K67,"Above range max. ",""),"")&amp;IF(AND($P67="Y",ISNUMBER($X67),ISNUMBER($Y67)),IF($X67-$Y67&gt;0.005,"Capped at range max. ",""),"")&amp;IF(AND(AND(ISNUMBER($G67),$G67&gt;=0,$G67&lt;=1),$H67=""),"Override needs a reason. ","")&amp;IF(AND(AND(ISNUMBER($G67),$G67&gt;=0,$G67&lt;=1),$P67&lt;&gt;"Y"),"Override ignored. ","")&amp;IF(AND($G67&lt;&gt;"",NOT(AND(ISNUMBER($G67),$G67&gt;=0,$G67&lt;=1))),"Override not valid, ignored. ","")&amp;IF(AND($A67&lt;&gt;"",COUNTIF($A$5:$A$254,$A67)&gt;1),"Duplicate ID. ","")))</f>
        <v/>
      </c>
    </row>
    <row r="68" customFormat="false" ht="15" hidden="false" customHeight="false" outlineLevel="0" collapsed="false">
      <c r="A68" s="18"/>
      <c r="B68" s="38"/>
      <c r="C68" s="39"/>
      <c r="D68" s="38"/>
      <c r="E68" s="19"/>
      <c r="F68" s="38"/>
      <c r="G68" s="40"/>
      <c r="H68" s="18"/>
      <c r="I68" s="41" t="str">
        <f aca="false">IF(COUNTA($A68:$F68)=0,"",IF($B68="","",IFERROR(INDEX(Ranges!$B$5:$B$16,MATCH($B68,Ranges!$A$5:$A$16,0)),"")))</f>
        <v/>
      </c>
      <c r="J68" s="41" t="str">
        <f aca="false">IF(COUNTA($A68:$F68)=0,"",IF($B68="","",IFERROR(INDEX(Ranges!$C$5:$C$16,MATCH($B68,Ranges!$A$5:$A$16,0)),"")))</f>
        <v/>
      </c>
      <c r="K68" s="41" t="str">
        <f aca="false">IF(COUNTA($A68:$F68)=0,"",IF($B68="","",IFERROR(INDEX(Ranges!$D$5:$D$16,MATCH($B68,Ranges!$A$5:$A$16,0)),"")))</f>
        <v/>
      </c>
      <c r="L68" s="42" t="str">
        <f aca="false">IF(OR(NOT(ISNUMBER($E68)),NOT(ISNUMBER(J68))),"",IF(J68&gt;0,$E68/J68,""))</f>
        <v/>
      </c>
      <c r="M68" s="43" t="str">
        <f aca="false">IF(OR(NOT(ISNUMBER($E68)),NOT(ISNUMBER(I68)),NOT(ISNUMBER(K68))),"",IF(K68&gt;I68,($E68-I68)/(K68-I68),""))</f>
        <v/>
      </c>
      <c r="N68" s="42" t="str">
        <f aca="false">IF(Basis="Compa-ratio",L68,M68)</f>
        <v/>
      </c>
      <c r="O68" s="44" t="str">
        <f aca="false">IF(ISNUMBER(N68),IFERROR(MATCH(N68,Matrix!$C$9:$G$9,1),1),"")</f>
        <v/>
      </c>
      <c r="P68" s="45" t="str">
        <f aca="false">IF(COUNTA($A68:$F68)=0,"",IF(Q68="","Y","N"))</f>
        <v/>
      </c>
      <c r="Q68" s="46" t="str">
        <f aca="false">IF(COUNTA($A68:$F68)=0,"",IF($A68="","ID missing",IF(TRIM($F68)="Exclude","Excluded by plan status",IF(AND(TRIM($F68)&lt;&gt;"",TRIM($F68)&lt;&gt;"Include"),"Plan status not valid (use Include or Exclude)",IF(NOT(ISNUMBER($C68)),"Hire date missing or not a date",IF($C68&gt;Cutoff,"Hired after cutoff",IF(NOT(ISNUMBER($E68)),"Salary missing or not a number",IF($E68&lt;=0,"Salary missing or not a number",IF(OR(NOT(ISNUMBER(I68)),NOT(ISNUMBER(J68)),NOT(ISNUMBER(K68))),"Grade not found in Ranges",IF($D68="","Rating missing",IF($D68="NR","Not rated (NR)",IF(NOT(ISNUMBER(MATCH($D68,Matrix!$A$14:$A$18,0))),"Rating not valid (use 1 to 5 or NR)",IF(NOT(ISNUMBER(O68)),"Band not found (check range and limits)","")))))))))))))</f>
        <v/>
      </c>
      <c r="R68" s="47" t="str">
        <f aca="false">IF($P68="Y",INDEX(Matrix!$C$14:$G$18,MATCH($D68,Matrix!$A$14:$A$18,0),$O68),IF($P68="N",0,""))</f>
        <v/>
      </c>
      <c r="S68" s="47" t="str">
        <f aca="false">IF($P68="Y",IF(AND(ISNUMBER($G68),$G68&gt;=0,$G68&lt;=1),$G68,$R68),IF($P68="N",0,""))</f>
        <v/>
      </c>
      <c r="T68" s="48" t="str">
        <f aca="false">IF($P68&lt;&gt;"Y",IF($P68="N",0,""),IF(ProrateMethod="None",1,IF($C68&lt;=PeriodStart,1,IF(ProrateMethod="Daily",MAX(0,MIN(1,(PeriodEnd-$C68+1)/(PeriodEnd-PeriodStart+1))),MAX(0,MIN(1,((YEAR(PeriodEnd)-YEAR($C68))*12+MONTH(PeriodEnd)-MONTH($C68)+1-IF(DAY($C68)&gt;MonthCutDay,1,0))/PeriodMonths))))))</f>
        <v/>
      </c>
      <c r="U68" s="47" t="str">
        <f aca="false">IF($P68="","",$S68*$T68)</f>
        <v/>
      </c>
      <c r="V68" s="49" t="str">
        <f aca="false">IF($P68="","",IF(ISNUMBER($E68),$E68,0)*$R68)</f>
        <v/>
      </c>
      <c r="W68" s="49" t="str">
        <f aca="false">IF($P68="","",IF(ISNUMBER($E68),$E68,0)*$S68)</f>
        <v/>
      </c>
      <c r="X68" s="49" t="str">
        <f aca="false">IF($P68="","",IF(ISNUMBER($E68),$E68,0)*$U68)</f>
        <v/>
      </c>
      <c r="Y68" s="49" t="str">
        <f aca="false">IF($P68="","",IF(AND(CapAtMax="Yes",$P68="Y"),MAX(0,MIN($X68,$K68-$E68)),$X68))</f>
        <v/>
      </c>
      <c r="Z68" s="41" t="str">
        <f aca="false">IF(OR($P68="",NOT(ISNUMBER($E68))),"",$E68+$Y68)</f>
        <v/>
      </c>
      <c r="AA68" s="42" t="str">
        <f aca="false">IF(AND(ISNUMBER(Z68),ISNUMBER(J68)),IF(J68&gt;0,Z68/J68,""),"")</f>
        <v/>
      </c>
      <c r="AB68" s="46" t="str">
        <f aca="false">IF($P68="","",TRIM(IF(AND($P68="Y",ISNUMBER(K68),ISNUMBER(Z68)),IF(Z68&gt;K68,"Above range max. ",""),"")&amp;IF(AND($P68="Y",ISNUMBER($X68),ISNUMBER($Y68)),IF($X68-$Y68&gt;0.005,"Capped at range max. ",""),"")&amp;IF(AND(AND(ISNUMBER($G68),$G68&gt;=0,$G68&lt;=1),$H68=""),"Override needs a reason. ","")&amp;IF(AND(AND(ISNUMBER($G68),$G68&gt;=0,$G68&lt;=1),$P68&lt;&gt;"Y"),"Override ignored. ","")&amp;IF(AND($G68&lt;&gt;"",NOT(AND(ISNUMBER($G68),$G68&gt;=0,$G68&lt;=1))),"Override not valid, ignored. ","")&amp;IF(AND($A68&lt;&gt;"",COUNTIF($A$5:$A$254,$A68)&gt;1),"Duplicate ID. ","")))</f>
        <v/>
      </c>
    </row>
    <row r="69" customFormat="false" ht="15" hidden="false" customHeight="false" outlineLevel="0" collapsed="false">
      <c r="A69" s="18"/>
      <c r="B69" s="38"/>
      <c r="C69" s="39"/>
      <c r="D69" s="38"/>
      <c r="E69" s="19"/>
      <c r="F69" s="38"/>
      <c r="G69" s="40"/>
      <c r="H69" s="18"/>
      <c r="I69" s="41" t="str">
        <f aca="false">IF(COUNTA($A69:$F69)=0,"",IF($B69="","",IFERROR(INDEX(Ranges!$B$5:$B$16,MATCH($B69,Ranges!$A$5:$A$16,0)),"")))</f>
        <v/>
      </c>
      <c r="J69" s="41" t="str">
        <f aca="false">IF(COUNTA($A69:$F69)=0,"",IF($B69="","",IFERROR(INDEX(Ranges!$C$5:$C$16,MATCH($B69,Ranges!$A$5:$A$16,0)),"")))</f>
        <v/>
      </c>
      <c r="K69" s="41" t="str">
        <f aca="false">IF(COUNTA($A69:$F69)=0,"",IF($B69="","",IFERROR(INDEX(Ranges!$D$5:$D$16,MATCH($B69,Ranges!$A$5:$A$16,0)),"")))</f>
        <v/>
      </c>
      <c r="L69" s="42" t="str">
        <f aca="false">IF(OR(NOT(ISNUMBER($E69)),NOT(ISNUMBER(J69))),"",IF(J69&gt;0,$E69/J69,""))</f>
        <v/>
      </c>
      <c r="M69" s="43" t="str">
        <f aca="false">IF(OR(NOT(ISNUMBER($E69)),NOT(ISNUMBER(I69)),NOT(ISNUMBER(K69))),"",IF(K69&gt;I69,($E69-I69)/(K69-I69),""))</f>
        <v/>
      </c>
      <c r="N69" s="42" t="str">
        <f aca="false">IF(Basis="Compa-ratio",L69,M69)</f>
        <v/>
      </c>
      <c r="O69" s="44" t="str">
        <f aca="false">IF(ISNUMBER(N69),IFERROR(MATCH(N69,Matrix!$C$9:$G$9,1),1),"")</f>
        <v/>
      </c>
      <c r="P69" s="45" t="str">
        <f aca="false">IF(COUNTA($A69:$F69)=0,"",IF(Q69="","Y","N"))</f>
        <v/>
      </c>
      <c r="Q69" s="46" t="str">
        <f aca="false">IF(COUNTA($A69:$F69)=0,"",IF($A69="","ID missing",IF(TRIM($F69)="Exclude","Excluded by plan status",IF(AND(TRIM($F69)&lt;&gt;"",TRIM($F69)&lt;&gt;"Include"),"Plan status not valid (use Include or Exclude)",IF(NOT(ISNUMBER($C69)),"Hire date missing or not a date",IF($C69&gt;Cutoff,"Hired after cutoff",IF(NOT(ISNUMBER($E69)),"Salary missing or not a number",IF($E69&lt;=0,"Salary missing or not a number",IF(OR(NOT(ISNUMBER(I69)),NOT(ISNUMBER(J69)),NOT(ISNUMBER(K69))),"Grade not found in Ranges",IF($D69="","Rating missing",IF($D69="NR","Not rated (NR)",IF(NOT(ISNUMBER(MATCH($D69,Matrix!$A$14:$A$18,0))),"Rating not valid (use 1 to 5 or NR)",IF(NOT(ISNUMBER(O69)),"Band not found (check range and limits)","")))))))))))))</f>
        <v/>
      </c>
      <c r="R69" s="47" t="str">
        <f aca="false">IF($P69="Y",INDEX(Matrix!$C$14:$G$18,MATCH($D69,Matrix!$A$14:$A$18,0),$O69),IF($P69="N",0,""))</f>
        <v/>
      </c>
      <c r="S69" s="47" t="str">
        <f aca="false">IF($P69="Y",IF(AND(ISNUMBER($G69),$G69&gt;=0,$G69&lt;=1),$G69,$R69),IF($P69="N",0,""))</f>
        <v/>
      </c>
      <c r="T69" s="48" t="str">
        <f aca="false">IF($P69&lt;&gt;"Y",IF($P69="N",0,""),IF(ProrateMethod="None",1,IF($C69&lt;=PeriodStart,1,IF(ProrateMethod="Daily",MAX(0,MIN(1,(PeriodEnd-$C69+1)/(PeriodEnd-PeriodStart+1))),MAX(0,MIN(1,((YEAR(PeriodEnd)-YEAR($C69))*12+MONTH(PeriodEnd)-MONTH($C69)+1-IF(DAY($C69)&gt;MonthCutDay,1,0))/PeriodMonths))))))</f>
        <v/>
      </c>
      <c r="U69" s="47" t="str">
        <f aca="false">IF($P69="","",$S69*$T69)</f>
        <v/>
      </c>
      <c r="V69" s="49" t="str">
        <f aca="false">IF($P69="","",IF(ISNUMBER($E69),$E69,0)*$R69)</f>
        <v/>
      </c>
      <c r="W69" s="49" t="str">
        <f aca="false">IF($P69="","",IF(ISNUMBER($E69),$E69,0)*$S69)</f>
        <v/>
      </c>
      <c r="X69" s="49" t="str">
        <f aca="false">IF($P69="","",IF(ISNUMBER($E69),$E69,0)*$U69)</f>
        <v/>
      </c>
      <c r="Y69" s="49" t="str">
        <f aca="false">IF($P69="","",IF(AND(CapAtMax="Yes",$P69="Y"),MAX(0,MIN($X69,$K69-$E69)),$X69))</f>
        <v/>
      </c>
      <c r="Z69" s="41" t="str">
        <f aca="false">IF(OR($P69="",NOT(ISNUMBER($E69))),"",$E69+$Y69)</f>
        <v/>
      </c>
      <c r="AA69" s="42" t="str">
        <f aca="false">IF(AND(ISNUMBER(Z69),ISNUMBER(J69)),IF(J69&gt;0,Z69/J69,""),"")</f>
        <v/>
      </c>
      <c r="AB69" s="46" t="str">
        <f aca="false">IF($P69="","",TRIM(IF(AND($P69="Y",ISNUMBER(K69),ISNUMBER(Z69)),IF(Z69&gt;K69,"Above range max. ",""),"")&amp;IF(AND($P69="Y",ISNUMBER($X69),ISNUMBER($Y69)),IF($X69-$Y69&gt;0.005,"Capped at range max. ",""),"")&amp;IF(AND(AND(ISNUMBER($G69),$G69&gt;=0,$G69&lt;=1),$H69=""),"Override needs a reason. ","")&amp;IF(AND(AND(ISNUMBER($G69),$G69&gt;=0,$G69&lt;=1),$P69&lt;&gt;"Y"),"Override ignored. ","")&amp;IF(AND($G69&lt;&gt;"",NOT(AND(ISNUMBER($G69),$G69&gt;=0,$G69&lt;=1))),"Override not valid, ignored. ","")&amp;IF(AND($A69&lt;&gt;"",COUNTIF($A$5:$A$254,$A69)&gt;1),"Duplicate ID. ","")))</f>
        <v/>
      </c>
    </row>
    <row r="70" customFormat="false" ht="15" hidden="false" customHeight="false" outlineLevel="0" collapsed="false">
      <c r="A70" s="18"/>
      <c r="B70" s="38"/>
      <c r="C70" s="39"/>
      <c r="D70" s="38"/>
      <c r="E70" s="19"/>
      <c r="F70" s="38"/>
      <c r="G70" s="40"/>
      <c r="H70" s="18"/>
      <c r="I70" s="41" t="str">
        <f aca="false">IF(COUNTA($A70:$F70)=0,"",IF($B70="","",IFERROR(INDEX(Ranges!$B$5:$B$16,MATCH($B70,Ranges!$A$5:$A$16,0)),"")))</f>
        <v/>
      </c>
      <c r="J70" s="41" t="str">
        <f aca="false">IF(COUNTA($A70:$F70)=0,"",IF($B70="","",IFERROR(INDEX(Ranges!$C$5:$C$16,MATCH($B70,Ranges!$A$5:$A$16,0)),"")))</f>
        <v/>
      </c>
      <c r="K70" s="41" t="str">
        <f aca="false">IF(COUNTA($A70:$F70)=0,"",IF($B70="","",IFERROR(INDEX(Ranges!$D$5:$D$16,MATCH($B70,Ranges!$A$5:$A$16,0)),"")))</f>
        <v/>
      </c>
      <c r="L70" s="42" t="str">
        <f aca="false">IF(OR(NOT(ISNUMBER($E70)),NOT(ISNUMBER(J70))),"",IF(J70&gt;0,$E70/J70,""))</f>
        <v/>
      </c>
      <c r="M70" s="43" t="str">
        <f aca="false">IF(OR(NOT(ISNUMBER($E70)),NOT(ISNUMBER(I70)),NOT(ISNUMBER(K70))),"",IF(K70&gt;I70,($E70-I70)/(K70-I70),""))</f>
        <v/>
      </c>
      <c r="N70" s="42" t="str">
        <f aca="false">IF(Basis="Compa-ratio",L70,M70)</f>
        <v/>
      </c>
      <c r="O70" s="44" t="str">
        <f aca="false">IF(ISNUMBER(N70),IFERROR(MATCH(N70,Matrix!$C$9:$G$9,1),1),"")</f>
        <v/>
      </c>
      <c r="P70" s="45" t="str">
        <f aca="false">IF(COUNTA($A70:$F70)=0,"",IF(Q70="","Y","N"))</f>
        <v/>
      </c>
      <c r="Q70" s="46" t="str">
        <f aca="false">IF(COUNTA($A70:$F70)=0,"",IF($A70="","ID missing",IF(TRIM($F70)="Exclude","Excluded by plan status",IF(AND(TRIM($F70)&lt;&gt;"",TRIM($F70)&lt;&gt;"Include"),"Plan status not valid (use Include or Exclude)",IF(NOT(ISNUMBER($C70)),"Hire date missing or not a date",IF($C70&gt;Cutoff,"Hired after cutoff",IF(NOT(ISNUMBER($E70)),"Salary missing or not a number",IF($E70&lt;=0,"Salary missing or not a number",IF(OR(NOT(ISNUMBER(I70)),NOT(ISNUMBER(J70)),NOT(ISNUMBER(K70))),"Grade not found in Ranges",IF($D70="","Rating missing",IF($D70="NR","Not rated (NR)",IF(NOT(ISNUMBER(MATCH($D70,Matrix!$A$14:$A$18,0))),"Rating not valid (use 1 to 5 or NR)",IF(NOT(ISNUMBER(O70)),"Band not found (check range and limits)","")))))))))))))</f>
        <v/>
      </c>
      <c r="R70" s="47" t="str">
        <f aca="false">IF($P70="Y",INDEX(Matrix!$C$14:$G$18,MATCH($D70,Matrix!$A$14:$A$18,0),$O70),IF($P70="N",0,""))</f>
        <v/>
      </c>
      <c r="S70" s="47" t="str">
        <f aca="false">IF($P70="Y",IF(AND(ISNUMBER($G70),$G70&gt;=0,$G70&lt;=1),$G70,$R70),IF($P70="N",0,""))</f>
        <v/>
      </c>
      <c r="T70" s="48" t="str">
        <f aca="false">IF($P70&lt;&gt;"Y",IF($P70="N",0,""),IF(ProrateMethod="None",1,IF($C70&lt;=PeriodStart,1,IF(ProrateMethod="Daily",MAX(0,MIN(1,(PeriodEnd-$C70+1)/(PeriodEnd-PeriodStart+1))),MAX(0,MIN(1,((YEAR(PeriodEnd)-YEAR($C70))*12+MONTH(PeriodEnd)-MONTH($C70)+1-IF(DAY($C70)&gt;MonthCutDay,1,0))/PeriodMonths))))))</f>
        <v/>
      </c>
      <c r="U70" s="47" t="str">
        <f aca="false">IF($P70="","",$S70*$T70)</f>
        <v/>
      </c>
      <c r="V70" s="49" t="str">
        <f aca="false">IF($P70="","",IF(ISNUMBER($E70),$E70,0)*$R70)</f>
        <v/>
      </c>
      <c r="W70" s="49" t="str">
        <f aca="false">IF($P70="","",IF(ISNUMBER($E70),$E70,0)*$S70)</f>
        <v/>
      </c>
      <c r="X70" s="49" t="str">
        <f aca="false">IF($P70="","",IF(ISNUMBER($E70),$E70,0)*$U70)</f>
        <v/>
      </c>
      <c r="Y70" s="49" t="str">
        <f aca="false">IF($P70="","",IF(AND(CapAtMax="Yes",$P70="Y"),MAX(0,MIN($X70,$K70-$E70)),$X70))</f>
        <v/>
      </c>
      <c r="Z70" s="41" t="str">
        <f aca="false">IF(OR($P70="",NOT(ISNUMBER($E70))),"",$E70+$Y70)</f>
        <v/>
      </c>
      <c r="AA70" s="42" t="str">
        <f aca="false">IF(AND(ISNUMBER(Z70),ISNUMBER(J70)),IF(J70&gt;0,Z70/J70,""),"")</f>
        <v/>
      </c>
      <c r="AB70" s="46" t="str">
        <f aca="false">IF($P70="","",TRIM(IF(AND($P70="Y",ISNUMBER(K70),ISNUMBER(Z70)),IF(Z70&gt;K70,"Above range max. ",""),"")&amp;IF(AND($P70="Y",ISNUMBER($X70),ISNUMBER($Y70)),IF($X70-$Y70&gt;0.005,"Capped at range max. ",""),"")&amp;IF(AND(AND(ISNUMBER($G70),$G70&gt;=0,$G70&lt;=1),$H70=""),"Override needs a reason. ","")&amp;IF(AND(AND(ISNUMBER($G70),$G70&gt;=0,$G70&lt;=1),$P70&lt;&gt;"Y"),"Override ignored. ","")&amp;IF(AND($G70&lt;&gt;"",NOT(AND(ISNUMBER($G70),$G70&gt;=0,$G70&lt;=1))),"Override not valid, ignored. ","")&amp;IF(AND($A70&lt;&gt;"",COUNTIF($A$5:$A$254,$A70)&gt;1),"Duplicate ID. ","")))</f>
        <v/>
      </c>
    </row>
    <row r="71" customFormat="false" ht="15" hidden="false" customHeight="false" outlineLevel="0" collapsed="false">
      <c r="A71" s="18"/>
      <c r="B71" s="38"/>
      <c r="C71" s="39"/>
      <c r="D71" s="38"/>
      <c r="E71" s="19"/>
      <c r="F71" s="38"/>
      <c r="G71" s="40"/>
      <c r="H71" s="18"/>
      <c r="I71" s="41" t="str">
        <f aca="false">IF(COUNTA($A71:$F71)=0,"",IF($B71="","",IFERROR(INDEX(Ranges!$B$5:$B$16,MATCH($B71,Ranges!$A$5:$A$16,0)),"")))</f>
        <v/>
      </c>
      <c r="J71" s="41" t="str">
        <f aca="false">IF(COUNTA($A71:$F71)=0,"",IF($B71="","",IFERROR(INDEX(Ranges!$C$5:$C$16,MATCH($B71,Ranges!$A$5:$A$16,0)),"")))</f>
        <v/>
      </c>
      <c r="K71" s="41" t="str">
        <f aca="false">IF(COUNTA($A71:$F71)=0,"",IF($B71="","",IFERROR(INDEX(Ranges!$D$5:$D$16,MATCH($B71,Ranges!$A$5:$A$16,0)),"")))</f>
        <v/>
      </c>
      <c r="L71" s="42" t="str">
        <f aca="false">IF(OR(NOT(ISNUMBER($E71)),NOT(ISNUMBER(J71))),"",IF(J71&gt;0,$E71/J71,""))</f>
        <v/>
      </c>
      <c r="M71" s="43" t="str">
        <f aca="false">IF(OR(NOT(ISNUMBER($E71)),NOT(ISNUMBER(I71)),NOT(ISNUMBER(K71))),"",IF(K71&gt;I71,($E71-I71)/(K71-I71),""))</f>
        <v/>
      </c>
      <c r="N71" s="42" t="str">
        <f aca="false">IF(Basis="Compa-ratio",L71,M71)</f>
        <v/>
      </c>
      <c r="O71" s="44" t="str">
        <f aca="false">IF(ISNUMBER(N71),IFERROR(MATCH(N71,Matrix!$C$9:$G$9,1),1),"")</f>
        <v/>
      </c>
      <c r="P71" s="45" t="str">
        <f aca="false">IF(COUNTA($A71:$F71)=0,"",IF(Q71="","Y","N"))</f>
        <v/>
      </c>
      <c r="Q71" s="46" t="str">
        <f aca="false">IF(COUNTA($A71:$F71)=0,"",IF($A71="","ID missing",IF(TRIM($F71)="Exclude","Excluded by plan status",IF(AND(TRIM($F71)&lt;&gt;"",TRIM($F71)&lt;&gt;"Include"),"Plan status not valid (use Include or Exclude)",IF(NOT(ISNUMBER($C71)),"Hire date missing or not a date",IF($C71&gt;Cutoff,"Hired after cutoff",IF(NOT(ISNUMBER($E71)),"Salary missing or not a number",IF($E71&lt;=0,"Salary missing or not a number",IF(OR(NOT(ISNUMBER(I71)),NOT(ISNUMBER(J71)),NOT(ISNUMBER(K71))),"Grade not found in Ranges",IF($D71="","Rating missing",IF($D71="NR","Not rated (NR)",IF(NOT(ISNUMBER(MATCH($D71,Matrix!$A$14:$A$18,0))),"Rating not valid (use 1 to 5 or NR)",IF(NOT(ISNUMBER(O71)),"Band not found (check range and limits)","")))))))))))))</f>
        <v/>
      </c>
      <c r="R71" s="47" t="str">
        <f aca="false">IF($P71="Y",INDEX(Matrix!$C$14:$G$18,MATCH($D71,Matrix!$A$14:$A$18,0),$O71),IF($P71="N",0,""))</f>
        <v/>
      </c>
      <c r="S71" s="47" t="str">
        <f aca="false">IF($P71="Y",IF(AND(ISNUMBER($G71),$G71&gt;=0,$G71&lt;=1),$G71,$R71),IF($P71="N",0,""))</f>
        <v/>
      </c>
      <c r="T71" s="48" t="str">
        <f aca="false">IF($P71&lt;&gt;"Y",IF($P71="N",0,""),IF(ProrateMethod="None",1,IF($C71&lt;=PeriodStart,1,IF(ProrateMethod="Daily",MAX(0,MIN(1,(PeriodEnd-$C71+1)/(PeriodEnd-PeriodStart+1))),MAX(0,MIN(1,((YEAR(PeriodEnd)-YEAR($C71))*12+MONTH(PeriodEnd)-MONTH($C71)+1-IF(DAY($C71)&gt;MonthCutDay,1,0))/PeriodMonths))))))</f>
        <v/>
      </c>
      <c r="U71" s="47" t="str">
        <f aca="false">IF($P71="","",$S71*$T71)</f>
        <v/>
      </c>
      <c r="V71" s="49" t="str">
        <f aca="false">IF($P71="","",IF(ISNUMBER($E71),$E71,0)*$R71)</f>
        <v/>
      </c>
      <c r="W71" s="49" t="str">
        <f aca="false">IF($P71="","",IF(ISNUMBER($E71),$E71,0)*$S71)</f>
        <v/>
      </c>
      <c r="X71" s="49" t="str">
        <f aca="false">IF($P71="","",IF(ISNUMBER($E71),$E71,0)*$U71)</f>
        <v/>
      </c>
      <c r="Y71" s="49" t="str">
        <f aca="false">IF($P71="","",IF(AND(CapAtMax="Yes",$P71="Y"),MAX(0,MIN($X71,$K71-$E71)),$X71))</f>
        <v/>
      </c>
      <c r="Z71" s="41" t="str">
        <f aca="false">IF(OR($P71="",NOT(ISNUMBER($E71))),"",$E71+$Y71)</f>
        <v/>
      </c>
      <c r="AA71" s="42" t="str">
        <f aca="false">IF(AND(ISNUMBER(Z71),ISNUMBER(J71)),IF(J71&gt;0,Z71/J71,""),"")</f>
        <v/>
      </c>
      <c r="AB71" s="46" t="str">
        <f aca="false">IF($P71="","",TRIM(IF(AND($P71="Y",ISNUMBER(K71),ISNUMBER(Z71)),IF(Z71&gt;K71,"Above range max. ",""),"")&amp;IF(AND($P71="Y",ISNUMBER($X71),ISNUMBER($Y71)),IF($X71-$Y71&gt;0.005,"Capped at range max. ",""),"")&amp;IF(AND(AND(ISNUMBER($G71),$G71&gt;=0,$G71&lt;=1),$H71=""),"Override needs a reason. ","")&amp;IF(AND(AND(ISNUMBER($G71),$G71&gt;=0,$G71&lt;=1),$P71&lt;&gt;"Y"),"Override ignored. ","")&amp;IF(AND($G71&lt;&gt;"",NOT(AND(ISNUMBER($G71),$G71&gt;=0,$G71&lt;=1))),"Override not valid, ignored. ","")&amp;IF(AND($A71&lt;&gt;"",COUNTIF($A$5:$A$254,$A71)&gt;1),"Duplicate ID. ","")))</f>
        <v/>
      </c>
    </row>
    <row r="72" customFormat="false" ht="15" hidden="false" customHeight="false" outlineLevel="0" collapsed="false">
      <c r="A72" s="18"/>
      <c r="B72" s="38"/>
      <c r="C72" s="39"/>
      <c r="D72" s="38"/>
      <c r="E72" s="19"/>
      <c r="F72" s="38"/>
      <c r="G72" s="40"/>
      <c r="H72" s="18"/>
      <c r="I72" s="41" t="str">
        <f aca="false">IF(COUNTA($A72:$F72)=0,"",IF($B72="","",IFERROR(INDEX(Ranges!$B$5:$B$16,MATCH($B72,Ranges!$A$5:$A$16,0)),"")))</f>
        <v/>
      </c>
      <c r="J72" s="41" t="str">
        <f aca="false">IF(COUNTA($A72:$F72)=0,"",IF($B72="","",IFERROR(INDEX(Ranges!$C$5:$C$16,MATCH($B72,Ranges!$A$5:$A$16,0)),"")))</f>
        <v/>
      </c>
      <c r="K72" s="41" t="str">
        <f aca="false">IF(COUNTA($A72:$F72)=0,"",IF($B72="","",IFERROR(INDEX(Ranges!$D$5:$D$16,MATCH($B72,Ranges!$A$5:$A$16,0)),"")))</f>
        <v/>
      </c>
      <c r="L72" s="42" t="str">
        <f aca="false">IF(OR(NOT(ISNUMBER($E72)),NOT(ISNUMBER(J72))),"",IF(J72&gt;0,$E72/J72,""))</f>
        <v/>
      </c>
      <c r="M72" s="43" t="str">
        <f aca="false">IF(OR(NOT(ISNUMBER($E72)),NOT(ISNUMBER(I72)),NOT(ISNUMBER(K72))),"",IF(K72&gt;I72,($E72-I72)/(K72-I72),""))</f>
        <v/>
      </c>
      <c r="N72" s="42" t="str">
        <f aca="false">IF(Basis="Compa-ratio",L72,M72)</f>
        <v/>
      </c>
      <c r="O72" s="44" t="str">
        <f aca="false">IF(ISNUMBER(N72),IFERROR(MATCH(N72,Matrix!$C$9:$G$9,1),1),"")</f>
        <v/>
      </c>
      <c r="P72" s="45" t="str">
        <f aca="false">IF(COUNTA($A72:$F72)=0,"",IF(Q72="","Y","N"))</f>
        <v/>
      </c>
      <c r="Q72" s="46" t="str">
        <f aca="false">IF(COUNTA($A72:$F72)=0,"",IF($A72="","ID missing",IF(TRIM($F72)="Exclude","Excluded by plan status",IF(AND(TRIM($F72)&lt;&gt;"",TRIM($F72)&lt;&gt;"Include"),"Plan status not valid (use Include or Exclude)",IF(NOT(ISNUMBER($C72)),"Hire date missing or not a date",IF($C72&gt;Cutoff,"Hired after cutoff",IF(NOT(ISNUMBER($E72)),"Salary missing or not a number",IF($E72&lt;=0,"Salary missing or not a number",IF(OR(NOT(ISNUMBER(I72)),NOT(ISNUMBER(J72)),NOT(ISNUMBER(K72))),"Grade not found in Ranges",IF($D72="","Rating missing",IF($D72="NR","Not rated (NR)",IF(NOT(ISNUMBER(MATCH($D72,Matrix!$A$14:$A$18,0))),"Rating not valid (use 1 to 5 or NR)",IF(NOT(ISNUMBER(O72)),"Band not found (check range and limits)","")))))))))))))</f>
        <v/>
      </c>
      <c r="R72" s="47" t="str">
        <f aca="false">IF($P72="Y",INDEX(Matrix!$C$14:$G$18,MATCH($D72,Matrix!$A$14:$A$18,0),$O72),IF($P72="N",0,""))</f>
        <v/>
      </c>
      <c r="S72" s="47" t="str">
        <f aca="false">IF($P72="Y",IF(AND(ISNUMBER($G72),$G72&gt;=0,$G72&lt;=1),$G72,$R72),IF($P72="N",0,""))</f>
        <v/>
      </c>
      <c r="T72" s="48" t="str">
        <f aca="false">IF($P72&lt;&gt;"Y",IF($P72="N",0,""),IF(ProrateMethod="None",1,IF($C72&lt;=PeriodStart,1,IF(ProrateMethod="Daily",MAX(0,MIN(1,(PeriodEnd-$C72+1)/(PeriodEnd-PeriodStart+1))),MAX(0,MIN(1,((YEAR(PeriodEnd)-YEAR($C72))*12+MONTH(PeriodEnd)-MONTH($C72)+1-IF(DAY($C72)&gt;MonthCutDay,1,0))/PeriodMonths))))))</f>
        <v/>
      </c>
      <c r="U72" s="47" t="str">
        <f aca="false">IF($P72="","",$S72*$T72)</f>
        <v/>
      </c>
      <c r="V72" s="49" t="str">
        <f aca="false">IF($P72="","",IF(ISNUMBER($E72),$E72,0)*$R72)</f>
        <v/>
      </c>
      <c r="W72" s="49" t="str">
        <f aca="false">IF($P72="","",IF(ISNUMBER($E72),$E72,0)*$S72)</f>
        <v/>
      </c>
      <c r="X72" s="49" t="str">
        <f aca="false">IF($P72="","",IF(ISNUMBER($E72),$E72,0)*$U72)</f>
        <v/>
      </c>
      <c r="Y72" s="49" t="str">
        <f aca="false">IF($P72="","",IF(AND(CapAtMax="Yes",$P72="Y"),MAX(0,MIN($X72,$K72-$E72)),$X72))</f>
        <v/>
      </c>
      <c r="Z72" s="41" t="str">
        <f aca="false">IF(OR($P72="",NOT(ISNUMBER($E72))),"",$E72+$Y72)</f>
        <v/>
      </c>
      <c r="AA72" s="42" t="str">
        <f aca="false">IF(AND(ISNUMBER(Z72),ISNUMBER(J72)),IF(J72&gt;0,Z72/J72,""),"")</f>
        <v/>
      </c>
      <c r="AB72" s="46" t="str">
        <f aca="false">IF($P72="","",TRIM(IF(AND($P72="Y",ISNUMBER(K72),ISNUMBER(Z72)),IF(Z72&gt;K72,"Above range max. ",""),"")&amp;IF(AND($P72="Y",ISNUMBER($X72),ISNUMBER($Y72)),IF($X72-$Y72&gt;0.005,"Capped at range max. ",""),"")&amp;IF(AND(AND(ISNUMBER($G72),$G72&gt;=0,$G72&lt;=1),$H72=""),"Override needs a reason. ","")&amp;IF(AND(AND(ISNUMBER($G72),$G72&gt;=0,$G72&lt;=1),$P72&lt;&gt;"Y"),"Override ignored. ","")&amp;IF(AND($G72&lt;&gt;"",NOT(AND(ISNUMBER($G72),$G72&gt;=0,$G72&lt;=1))),"Override not valid, ignored. ","")&amp;IF(AND($A72&lt;&gt;"",COUNTIF($A$5:$A$254,$A72)&gt;1),"Duplicate ID. ","")))</f>
        <v/>
      </c>
    </row>
    <row r="73" customFormat="false" ht="15" hidden="false" customHeight="false" outlineLevel="0" collapsed="false">
      <c r="A73" s="18"/>
      <c r="B73" s="38"/>
      <c r="C73" s="39"/>
      <c r="D73" s="38"/>
      <c r="E73" s="19"/>
      <c r="F73" s="38"/>
      <c r="G73" s="40"/>
      <c r="H73" s="18"/>
      <c r="I73" s="41" t="str">
        <f aca="false">IF(COUNTA($A73:$F73)=0,"",IF($B73="","",IFERROR(INDEX(Ranges!$B$5:$B$16,MATCH($B73,Ranges!$A$5:$A$16,0)),"")))</f>
        <v/>
      </c>
      <c r="J73" s="41" t="str">
        <f aca="false">IF(COUNTA($A73:$F73)=0,"",IF($B73="","",IFERROR(INDEX(Ranges!$C$5:$C$16,MATCH($B73,Ranges!$A$5:$A$16,0)),"")))</f>
        <v/>
      </c>
      <c r="K73" s="41" t="str">
        <f aca="false">IF(COUNTA($A73:$F73)=0,"",IF($B73="","",IFERROR(INDEX(Ranges!$D$5:$D$16,MATCH($B73,Ranges!$A$5:$A$16,0)),"")))</f>
        <v/>
      </c>
      <c r="L73" s="42" t="str">
        <f aca="false">IF(OR(NOT(ISNUMBER($E73)),NOT(ISNUMBER(J73))),"",IF(J73&gt;0,$E73/J73,""))</f>
        <v/>
      </c>
      <c r="M73" s="43" t="str">
        <f aca="false">IF(OR(NOT(ISNUMBER($E73)),NOT(ISNUMBER(I73)),NOT(ISNUMBER(K73))),"",IF(K73&gt;I73,($E73-I73)/(K73-I73),""))</f>
        <v/>
      </c>
      <c r="N73" s="42" t="str">
        <f aca="false">IF(Basis="Compa-ratio",L73,M73)</f>
        <v/>
      </c>
      <c r="O73" s="44" t="str">
        <f aca="false">IF(ISNUMBER(N73),IFERROR(MATCH(N73,Matrix!$C$9:$G$9,1),1),"")</f>
        <v/>
      </c>
      <c r="P73" s="45" t="str">
        <f aca="false">IF(COUNTA($A73:$F73)=0,"",IF(Q73="","Y","N"))</f>
        <v/>
      </c>
      <c r="Q73" s="46" t="str">
        <f aca="false">IF(COUNTA($A73:$F73)=0,"",IF($A73="","ID missing",IF(TRIM($F73)="Exclude","Excluded by plan status",IF(AND(TRIM($F73)&lt;&gt;"",TRIM($F73)&lt;&gt;"Include"),"Plan status not valid (use Include or Exclude)",IF(NOT(ISNUMBER($C73)),"Hire date missing or not a date",IF($C73&gt;Cutoff,"Hired after cutoff",IF(NOT(ISNUMBER($E73)),"Salary missing or not a number",IF($E73&lt;=0,"Salary missing or not a number",IF(OR(NOT(ISNUMBER(I73)),NOT(ISNUMBER(J73)),NOT(ISNUMBER(K73))),"Grade not found in Ranges",IF($D73="","Rating missing",IF($D73="NR","Not rated (NR)",IF(NOT(ISNUMBER(MATCH($D73,Matrix!$A$14:$A$18,0))),"Rating not valid (use 1 to 5 or NR)",IF(NOT(ISNUMBER(O73)),"Band not found (check range and limits)","")))))))))))))</f>
        <v/>
      </c>
      <c r="R73" s="47" t="str">
        <f aca="false">IF($P73="Y",INDEX(Matrix!$C$14:$G$18,MATCH($D73,Matrix!$A$14:$A$18,0),$O73),IF($P73="N",0,""))</f>
        <v/>
      </c>
      <c r="S73" s="47" t="str">
        <f aca="false">IF($P73="Y",IF(AND(ISNUMBER($G73),$G73&gt;=0,$G73&lt;=1),$G73,$R73),IF($P73="N",0,""))</f>
        <v/>
      </c>
      <c r="T73" s="48" t="str">
        <f aca="false">IF($P73&lt;&gt;"Y",IF($P73="N",0,""),IF(ProrateMethod="None",1,IF($C73&lt;=PeriodStart,1,IF(ProrateMethod="Daily",MAX(0,MIN(1,(PeriodEnd-$C73+1)/(PeriodEnd-PeriodStart+1))),MAX(0,MIN(1,((YEAR(PeriodEnd)-YEAR($C73))*12+MONTH(PeriodEnd)-MONTH($C73)+1-IF(DAY($C73)&gt;MonthCutDay,1,0))/PeriodMonths))))))</f>
        <v/>
      </c>
      <c r="U73" s="47" t="str">
        <f aca="false">IF($P73="","",$S73*$T73)</f>
        <v/>
      </c>
      <c r="V73" s="49" t="str">
        <f aca="false">IF($P73="","",IF(ISNUMBER($E73),$E73,0)*$R73)</f>
        <v/>
      </c>
      <c r="W73" s="49" t="str">
        <f aca="false">IF($P73="","",IF(ISNUMBER($E73),$E73,0)*$S73)</f>
        <v/>
      </c>
      <c r="X73" s="49" t="str">
        <f aca="false">IF($P73="","",IF(ISNUMBER($E73),$E73,0)*$U73)</f>
        <v/>
      </c>
      <c r="Y73" s="49" t="str">
        <f aca="false">IF($P73="","",IF(AND(CapAtMax="Yes",$P73="Y"),MAX(0,MIN($X73,$K73-$E73)),$X73))</f>
        <v/>
      </c>
      <c r="Z73" s="41" t="str">
        <f aca="false">IF(OR($P73="",NOT(ISNUMBER($E73))),"",$E73+$Y73)</f>
        <v/>
      </c>
      <c r="AA73" s="42" t="str">
        <f aca="false">IF(AND(ISNUMBER(Z73),ISNUMBER(J73)),IF(J73&gt;0,Z73/J73,""),"")</f>
        <v/>
      </c>
      <c r="AB73" s="46" t="str">
        <f aca="false">IF($P73="","",TRIM(IF(AND($P73="Y",ISNUMBER(K73),ISNUMBER(Z73)),IF(Z73&gt;K73,"Above range max. ",""),"")&amp;IF(AND($P73="Y",ISNUMBER($X73),ISNUMBER($Y73)),IF($X73-$Y73&gt;0.005,"Capped at range max. ",""),"")&amp;IF(AND(AND(ISNUMBER($G73),$G73&gt;=0,$G73&lt;=1),$H73=""),"Override needs a reason. ","")&amp;IF(AND(AND(ISNUMBER($G73),$G73&gt;=0,$G73&lt;=1),$P73&lt;&gt;"Y"),"Override ignored. ","")&amp;IF(AND($G73&lt;&gt;"",NOT(AND(ISNUMBER($G73),$G73&gt;=0,$G73&lt;=1))),"Override not valid, ignored. ","")&amp;IF(AND($A73&lt;&gt;"",COUNTIF($A$5:$A$254,$A73)&gt;1),"Duplicate ID. ","")))</f>
        <v/>
      </c>
    </row>
    <row r="74" customFormat="false" ht="15" hidden="false" customHeight="false" outlineLevel="0" collapsed="false">
      <c r="A74" s="18"/>
      <c r="B74" s="38"/>
      <c r="C74" s="39"/>
      <c r="D74" s="38"/>
      <c r="E74" s="19"/>
      <c r="F74" s="38"/>
      <c r="G74" s="40"/>
      <c r="H74" s="18"/>
      <c r="I74" s="41" t="str">
        <f aca="false">IF(COUNTA($A74:$F74)=0,"",IF($B74="","",IFERROR(INDEX(Ranges!$B$5:$B$16,MATCH($B74,Ranges!$A$5:$A$16,0)),"")))</f>
        <v/>
      </c>
      <c r="J74" s="41" t="str">
        <f aca="false">IF(COUNTA($A74:$F74)=0,"",IF($B74="","",IFERROR(INDEX(Ranges!$C$5:$C$16,MATCH($B74,Ranges!$A$5:$A$16,0)),"")))</f>
        <v/>
      </c>
      <c r="K74" s="41" t="str">
        <f aca="false">IF(COUNTA($A74:$F74)=0,"",IF($B74="","",IFERROR(INDEX(Ranges!$D$5:$D$16,MATCH($B74,Ranges!$A$5:$A$16,0)),"")))</f>
        <v/>
      </c>
      <c r="L74" s="42" t="str">
        <f aca="false">IF(OR(NOT(ISNUMBER($E74)),NOT(ISNUMBER(J74))),"",IF(J74&gt;0,$E74/J74,""))</f>
        <v/>
      </c>
      <c r="M74" s="43" t="str">
        <f aca="false">IF(OR(NOT(ISNUMBER($E74)),NOT(ISNUMBER(I74)),NOT(ISNUMBER(K74))),"",IF(K74&gt;I74,($E74-I74)/(K74-I74),""))</f>
        <v/>
      </c>
      <c r="N74" s="42" t="str">
        <f aca="false">IF(Basis="Compa-ratio",L74,M74)</f>
        <v/>
      </c>
      <c r="O74" s="44" t="str">
        <f aca="false">IF(ISNUMBER(N74),IFERROR(MATCH(N74,Matrix!$C$9:$G$9,1),1),"")</f>
        <v/>
      </c>
      <c r="P74" s="45" t="str">
        <f aca="false">IF(COUNTA($A74:$F74)=0,"",IF(Q74="","Y","N"))</f>
        <v/>
      </c>
      <c r="Q74" s="46" t="str">
        <f aca="false">IF(COUNTA($A74:$F74)=0,"",IF($A74="","ID missing",IF(TRIM($F74)="Exclude","Excluded by plan status",IF(AND(TRIM($F74)&lt;&gt;"",TRIM($F74)&lt;&gt;"Include"),"Plan status not valid (use Include or Exclude)",IF(NOT(ISNUMBER($C74)),"Hire date missing or not a date",IF($C74&gt;Cutoff,"Hired after cutoff",IF(NOT(ISNUMBER($E74)),"Salary missing or not a number",IF($E74&lt;=0,"Salary missing or not a number",IF(OR(NOT(ISNUMBER(I74)),NOT(ISNUMBER(J74)),NOT(ISNUMBER(K74))),"Grade not found in Ranges",IF($D74="","Rating missing",IF($D74="NR","Not rated (NR)",IF(NOT(ISNUMBER(MATCH($D74,Matrix!$A$14:$A$18,0))),"Rating not valid (use 1 to 5 or NR)",IF(NOT(ISNUMBER(O74)),"Band not found (check range and limits)","")))))))))))))</f>
        <v/>
      </c>
      <c r="R74" s="47" t="str">
        <f aca="false">IF($P74="Y",INDEX(Matrix!$C$14:$G$18,MATCH($D74,Matrix!$A$14:$A$18,0),$O74),IF($P74="N",0,""))</f>
        <v/>
      </c>
      <c r="S74" s="47" t="str">
        <f aca="false">IF($P74="Y",IF(AND(ISNUMBER($G74),$G74&gt;=0,$G74&lt;=1),$G74,$R74),IF($P74="N",0,""))</f>
        <v/>
      </c>
      <c r="T74" s="48" t="str">
        <f aca="false">IF($P74&lt;&gt;"Y",IF($P74="N",0,""),IF(ProrateMethod="None",1,IF($C74&lt;=PeriodStart,1,IF(ProrateMethod="Daily",MAX(0,MIN(1,(PeriodEnd-$C74+1)/(PeriodEnd-PeriodStart+1))),MAX(0,MIN(1,((YEAR(PeriodEnd)-YEAR($C74))*12+MONTH(PeriodEnd)-MONTH($C74)+1-IF(DAY($C74)&gt;MonthCutDay,1,0))/PeriodMonths))))))</f>
        <v/>
      </c>
      <c r="U74" s="47" t="str">
        <f aca="false">IF($P74="","",$S74*$T74)</f>
        <v/>
      </c>
      <c r="V74" s="49" t="str">
        <f aca="false">IF($P74="","",IF(ISNUMBER($E74),$E74,0)*$R74)</f>
        <v/>
      </c>
      <c r="W74" s="49" t="str">
        <f aca="false">IF($P74="","",IF(ISNUMBER($E74),$E74,0)*$S74)</f>
        <v/>
      </c>
      <c r="X74" s="49" t="str">
        <f aca="false">IF($P74="","",IF(ISNUMBER($E74),$E74,0)*$U74)</f>
        <v/>
      </c>
      <c r="Y74" s="49" t="str">
        <f aca="false">IF($P74="","",IF(AND(CapAtMax="Yes",$P74="Y"),MAX(0,MIN($X74,$K74-$E74)),$X74))</f>
        <v/>
      </c>
      <c r="Z74" s="41" t="str">
        <f aca="false">IF(OR($P74="",NOT(ISNUMBER($E74))),"",$E74+$Y74)</f>
        <v/>
      </c>
      <c r="AA74" s="42" t="str">
        <f aca="false">IF(AND(ISNUMBER(Z74),ISNUMBER(J74)),IF(J74&gt;0,Z74/J74,""),"")</f>
        <v/>
      </c>
      <c r="AB74" s="46" t="str">
        <f aca="false">IF($P74="","",TRIM(IF(AND($P74="Y",ISNUMBER(K74),ISNUMBER(Z74)),IF(Z74&gt;K74,"Above range max. ",""),"")&amp;IF(AND($P74="Y",ISNUMBER($X74),ISNUMBER($Y74)),IF($X74-$Y74&gt;0.005,"Capped at range max. ",""),"")&amp;IF(AND(AND(ISNUMBER($G74),$G74&gt;=0,$G74&lt;=1),$H74=""),"Override needs a reason. ","")&amp;IF(AND(AND(ISNUMBER($G74),$G74&gt;=0,$G74&lt;=1),$P74&lt;&gt;"Y"),"Override ignored. ","")&amp;IF(AND($G74&lt;&gt;"",NOT(AND(ISNUMBER($G74),$G74&gt;=0,$G74&lt;=1))),"Override not valid, ignored. ","")&amp;IF(AND($A74&lt;&gt;"",COUNTIF($A$5:$A$254,$A74)&gt;1),"Duplicate ID. ","")))</f>
        <v/>
      </c>
    </row>
    <row r="75" customFormat="false" ht="15" hidden="false" customHeight="false" outlineLevel="0" collapsed="false">
      <c r="A75" s="18"/>
      <c r="B75" s="38"/>
      <c r="C75" s="39"/>
      <c r="D75" s="38"/>
      <c r="E75" s="19"/>
      <c r="F75" s="38"/>
      <c r="G75" s="40"/>
      <c r="H75" s="18"/>
      <c r="I75" s="41" t="str">
        <f aca="false">IF(COUNTA($A75:$F75)=0,"",IF($B75="","",IFERROR(INDEX(Ranges!$B$5:$B$16,MATCH($B75,Ranges!$A$5:$A$16,0)),"")))</f>
        <v/>
      </c>
      <c r="J75" s="41" t="str">
        <f aca="false">IF(COUNTA($A75:$F75)=0,"",IF($B75="","",IFERROR(INDEX(Ranges!$C$5:$C$16,MATCH($B75,Ranges!$A$5:$A$16,0)),"")))</f>
        <v/>
      </c>
      <c r="K75" s="41" t="str">
        <f aca="false">IF(COUNTA($A75:$F75)=0,"",IF($B75="","",IFERROR(INDEX(Ranges!$D$5:$D$16,MATCH($B75,Ranges!$A$5:$A$16,0)),"")))</f>
        <v/>
      </c>
      <c r="L75" s="42" t="str">
        <f aca="false">IF(OR(NOT(ISNUMBER($E75)),NOT(ISNUMBER(J75))),"",IF(J75&gt;0,$E75/J75,""))</f>
        <v/>
      </c>
      <c r="M75" s="43" t="str">
        <f aca="false">IF(OR(NOT(ISNUMBER($E75)),NOT(ISNUMBER(I75)),NOT(ISNUMBER(K75))),"",IF(K75&gt;I75,($E75-I75)/(K75-I75),""))</f>
        <v/>
      </c>
      <c r="N75" s="42" t="str">
        <f aca="false">IF(Basis="Compa-ratio",L75,M75)</f>
        <v/>
      </c>
      <c r="O75" s="44" t="str">
        <f aca="false">IF(ISNUMBER(N75),IFERROR(MATCH(N75,Matrix!$C$9:$G$9,1),1),"")</f>
        <v/>
      </c>
      <c r="P75" s="45" t="str">
        <f aca="false">IF(COUNTA($A75:$F75)=0,"",IF(Q75="","Y","N"))</f>
        <v/>
      </c>
      <c r="Q75" s="46" t="str">
        <f aca="false">IF(COUNTA($A75:$F75)=0,"",IF($A75="","ID missing",IF(TRIM($F75)="Exclude","Excluded by plan status",IF(AND(TRIM($F75)&lt;&gt;"",TRIM($F75)&lt;&gt;"Include"),"Plan status not valid (use Include or Exclude)",IF(NOT(ISNUMBER($C75)),"Hire date missing or not a date",IF($C75&gt;Cutoff,"Hired after cutoff",IF(NOT(ISNUMBER($E75)),"Salary missing or not a number",IF($E75&lt;=0,"Salary missing or not a number",IF(OR(NOT(ISNUMBER(I75)),NOT(ISNUMBER(J75)),NOT(ISNUMBER(K75))),"Grade not found in Ranges",IF($D75="","Rating missing",IF($D75="NR","Not rated (NR)",IF(NOT(ISNUMBER(MATCH($D75,Matrix!$A$14:$A$18,0))),"Rating not valid (use 1 to 5 or NR)",IF(NOT(ISNUMBER(O75)),"Band not found (check range and limits)","")))))))))))))</f>
        <v/>
      </c>
      <c r="R75" s="47" t="str">
        <f aca="false">IF($P75="Y",INDEX(Matrix!$C$14:$G$18,MATCH($D75,Matrix!$A$14:$A$18,0),$O75),IF($P75="N",0,""))</f>
        <v/>
      </c>
      <c r="S75" s="47" t="str">
        <f aca="false">IF($P75="Y",IF(AND(ISNUMBER($G75),$G75&gt;=0,$G75&lt;=1),$G75,$R75),IF($P75="N",0,""))</f>
        <v/>
      </c>
      <c r="T75" s="48" t="str">
        <f aca="false">IF($P75&lt;&gt;"Y",IF($P75="N",0,""),IF(ProrateMethod="None",1,IF($C75&lt;=PeriodStart,1,IF(ProrateMethod="Daily",MAX(0,MIN(1,(PeriodEnd-$C75+1)/(PeriodEnd-PeriodStart+1))),MAX(0,MIN(1,((YEAR(PeriodEnd)-YEAR($C75))*12+MONTH(PeriodEnd)-MONTH($C75)+1-IF(DAY($C75)&gt;MonthCutDay,1,0))/PeriodMonths))))))</f>
        <v/>
      </c>
      <c r="U75" s="47" t="str">
        <f aca="false">IF($P75="","",$S75*$T75)</f>
        <v/>
      </c>
      <c r="V75" s="49" t="str">
        <f aca="false">IF($P75="","",IF(ISNUMBER($E75),$E75,0)*$R75)</f>
        <v/>
      </c>
      <c r="W75" s="49" t="str">
        <f aca="false">IF($P75="","",IF(ISNUMBER($E75),$E75,0)*$S75)</f>
        <v/>
      </c>
      <c r="X75" s="49" t="str">
        <f aca="false">IF($P75="","",IF(ISNUMBER($E75),$E75,0)*$U75)</f>
        <v/>
      </c>
      <c r="Y75" s="49" t="str">
        <f aca="false">IF($P75="","",IF(AND(CapAtMax="Yes",$P75="Y"),MAX(0,MIN($X75,$K75-$E75)),$X75))</f>
        <v/>
      </c>
      <c r="Z75" s="41" t="str">
        <f aca="false">IF(OR($P75="",NOT(ISNUMBER($E75))),"",$E75+$Y75)</f>
        <v/>
      </c>
      <c r="AA75" s="42" t="str">
        <f aca="false">IF(AND(ISNUMBER(Z75),ISNUMBER(J75)),IF(J75&gt;0,Z75/J75,""),"")</f>
        <v/>
      </c>
      <c r="AB75" s="46" t="str">
        <f aca="false">IF($P75="","",TRIM(IF(AND($P75="Y",ISNUMBER(K75),ISNUMBER(Z75)),IF(Z75&gt;K75,"Above range max. ",""),"")&amp;IF(AND($P75="Y",ISNUMBER($X75),ISNUMBER($Y75)),IF($X75-$Y75&gt;0.005,"Capped at range max. ",""),"")&amp;IF(AND(AND(ISNUMBER($G75),$G75&gt;=0,$G75&lt;=1),$H75=""),"Override needs a reason. ","")&amp;IF(AND(AND(ISNUMBER($G75),$G75&gt;=0,$G75&lt;=1),$P75&lt;&gt;"Y"),"Override ignored. ","")&amp;IF(AND($G75&lt;&gt;"",NOT(AND(ISNUMBER($G75),$G75&gt;=0,$G75&lt;=1))),"Override not valid, ignored. ","")&amp;IF(AND($A75&lt;&gt;"",COUNTIF($A$5:$A$254,$A75)&gt;1),"Duplicate ID. ","")))</f>
        <v/>
      </c>
    </row>
    <row r="76" customFormat="false" ht="15" hidden="false" customHeight="false" outlineLevel="0" collapsed="false">
      <c r="A76" s="18"/>
      <c r="B76" s="38"/>
      <c r="C76" s="39"/>
      <c r="D76" s="38"/>
      <c r="E76" s="19"/>
      <c r="F76" s="38"/>
      <c r="G76" s="40"/>
      <c r="H76" s="18"/>
      <c r="I76" s="41" t="str">
        <f aca="false">IF(COUNTA($A76:$F76)=0,"",IF($B76="","",IFERROR(INDEX(Ranges!$B$5:$B$16,MATCH($B76,Ranges!$A$5:$A$16,0)),"")))</f>
        <v/>
      </c>
      <c r="J76" s="41" t="str">
        <f aca="false">IF(COUNTA($A76:$F76)=0,"",IF($B76="","",IFERROR(INDEX(Ranges!$C$5:$C$16,MATCH($B76,Ranges!$A$5:$A$16,0)),"")))</f>
        <v/>
      </c>
      <c r="K76" s="41" t="str">
        <f aca="false">IF(COUNTA($A76:$F76)=0,"",IF($B76="","",IFERROR(INDEX(Ranges!$D$5:$D$16,MATCH($B76,Ranges!$A$5:$A$16,0)),"")))</f>
        <v/>
      </c>
      <c r="L76" s="42" t="str">
        <f aca="false">IF(OR(NOT(ISNUMBER($E76)),NOT(ISNUMBER(J76))),"",IF(J76&gt;0,$E76/J76,""))</f>
        <v/>
      </c>
      <c r="M76" s="43" t="str">
        <f aca="false">IF(OR(NOT(ISNUMBER($E76)),NOT(ISNUMBER(I76)),NOT(ISNUMBER(K76))),"",IF(K76&gt;I76,($E76-I76)/(K76-I76),""))</f>
        <v/>
      </c>
      <c r="N76" s="42" t="str">
        <f aca="false">IF(Basis="Compa-ratio",L76,M76)</f>
        <v/>
      </c>
      <c r="O76" s="44" t="str">
        <f aca="false">IF(ISNUMBER(N76),IFERROR(MATCH(N76,Matrix!$C$9:$G$9,1),1),"")</f>
        <v/>
      </c>
      <c r="P76" s="45" t="str">
        <f aca="false">IF(COUNTA($A76:$F76)=0,"",IF(Q76="","Y","N"))</f>
        <v/>
      </c>
      <c r="Q76" s="46" t="str">
        <f aca="false">IF(COUNTA($A76:$F76)=0,"",IF($A76="","ID missing",IF(TRIM($F76)="Exclude","Excluded by plan status",IF(AND(TRIM($F76)&lt;&gt;"",TRIM($F76)&lt;&gt;"Include"),"Plan status not valid (use Include or Exclude)",IF(NOT(ISNUMBER($C76)),"Hire date missing or not a date",IF($C76&gt;Cutoff,"Hired after cutoff",IF(NOT(ISNUMBER($E76)),"Salary missing or not a number",IF($E76&lt;=0,"Salary missing or not a number",IF(OR(NOT(ISNUMBER(I76)),NOT(ISNUMBER(J76)),NOT(ISNUMBER(K76))),"Grade not found in Ranges",IF($D76="","Rating missing",IF($D76="NR","Not rated (NR)",IF(NOT(ISNUMBER(MATCH($D76,Matrix!$A$14:$A$18,0))),"Rating not valid (use 1 to 5 or NR)",IF(NOT(ISNUMBER(O76)),"Band not found (check range and limits)","")))))))))))))</f>
        <v/>
      </c>
      <c r="R76" s="47" t="str">
        <f aca="false">IF($P76="Y",INDEX(Matrix!$C$14:$G$18,MATCH($D76,Matrix!$A$14:$A$18,0),$O76),IF($P76="N",0,""))</f>
        <v/>
      </c>
      <c r="S76" s="47" t="str">
        <f aca="false">IF($P76="Y",IF(AND(ISNUMBER($G76),$G76&gt;=0,$G76&lt;=1),$G76,$R76),IF($P76="N",0,""))</f>
        <v/>
      </c>
      <c r="T76" s="48" t="str">
        <f aca="false">IF($P76&lt;&gt;"Y",IF($P76="N",0,""),IF(ProrateMethod="None",1,IF($C76&lt;=PeriodStart,1,IF(ProrateMethod="Daily",MAX(0,MIN(1,(PeriodEnd-$C76+1)/(PeriodEnd-PeriodStart+1))),MAX(0,MIN(1,((YEAR(PeriodEnd)-YEAR($C76))*12+MONTH(PeriodEnd)-MONTH($C76)+1-IF(DAY($C76)&gt;MonthCutDay,1,0))/PeriodMonths))))))</f>
        <v/>
      </c>
      <c r="U76" s="47" t="str">
        <f aca="false">IF($P76="","",$S76*$T76)</f>
        <v/>
      </c>
      <c r="V76" s="49" t="str">
        <f aca="false">IF($P76="","",IF(ISNUMBER($E76),$E76,0)*$R76)</f>
        <v/>
      </c>
      <c r="W76" s="49" t="str">
        <f aca="false">IF($P76="","",IF(ISNUMBER($E76),$E76,0)*$S76)</f>
        <v/>
      </c>
      <c r="X76" s="49" t="str">
        <f aca="false">IF($P76="","",IF(ISNUMBER($E76),$E76,0)*$U76)</f>
        <v/>
      </c>
      <c r="Y76" s="49" t="str">
        <f aca="false">IF($P76="","",IF(AND(CapAtMax="Yes",$P76="Y"),MAX(0,MIN($X76,$K76-$E76)),$X76))</f>
        <v/>
      </c>
      <c r="Z76" s="41" t="str">
        <f aca="false">IF(OR($P76="",NOT(ISNUMBER($E76))),"",$E76+$Y76)</f>
        <v/>
      </c>
      <c r="AA76" s="42" t="str">
        <f aca="false">IF(AND(ISNUMBER(Z76),ISNUMBER(J76)),IF(J76&gt;0,Z76/J76,""),"")</f>
        <v/>
      </c>
      <c r="AB76" s="46" t="str">
        <f aca="false">IF($P76="","",TRIM(IF(AND($P76="Y",ISNUMBER(K76),ISNUMBER(Z76)),IF(Z76&gt;K76,"Above range max. ",""),"")&amp;IF(AND($P76="Y",ISNUMBER($X76),ISNUMBER($Y76)),IF($X76-$Y76&gt;0.005,"Capped at range max. ",""),"")&amp;IF(AND(AND(ISNUMBER($G76),$G76&gt;=0,$G76&lt;=1),$H76=""),"Override needs a reason. ","")&amp;IF(AND(AND(ISNUMBER($G76),$G76&gt;=0,$G76&lt;=1),$P76&lt;&gt;"Y"),"Override ignored. ","")&amp;IF(AND($G76&lt;&gt;"",NOT(AND(ISNUMBER($G76),$G76&gt;=0,$G76&lt;=1))),"Override not valid, ignored. ","")&amp;IF(AND($A76&lt;&gt;"",COUNTIF($A$5:$A$254,$A76)&gt;1),"Duplicate ID. ","")))</f>
        <v/>
      </c>
    </row>
    <row r="77" customFormat="false" ht="15" hidden="false" customHeight="false" outlineLevel="0" collapsed="false">
      <c r="A77" s="18"/>
      <c r="B77" s="38"/>
      <c r="C77" s="39"/>
      <c r="D77" s="38"/>
      <c r="E77" s="19"/>
      <c r="F77" s="38"/>
      <c r="G77" s="40"/>
      <c r="H77" s="18"/>
      <c r="I77" s="41" t="str">
        <f aca="false">IF(COUNTA($A77:$F77)=0,"",IF($B77="","",IFERROR(INDEX(Ranges!$B$5:$B$16,MATCH($B77,Ranges!$A$5:$A$16,0)),"")))</f>
        <v/>
      </c>
      <c r="J77" s="41" t="str">
        <f aca="false">IF(COUNTA($A77:$F77)=0,"",IF($B77="","",IFERROR(INDEX(Ranges!$C$5:$C$16,MATCH($B77,Ranges!$A$5:$A$16,0)),"")))</f>
        <v/>
      </c>
      <c r="K77" s="41" t="str">
        <f aca="false">IF(COUNTA($A77:$F77)=0,"",IF($B77="","",IFERROR(INDEX(Ranges!$D$5:$D$16,MATCH($B77,Ranges!$A$5:$A$16,0)),"")))</f>
        <v/>
      </c>
      <c r="L77" s="42" t="str">
        <f aca="false">IF(OR(NOT(ISNUMBER($E77)),NOT(ISNUMBER(J77))),"",IF(J77&gt;0,$E77/J77,""))</f>
        <v/>
      </c>
      <c r="M77" s="43" t="str">
        <f aca="false">IF(OR(NOT(ISNUMBER($E77)),NOT(ISNUMBER(I77)),NOT(ISNUMBER(K77))),"",IF(K77&gt;I77,($E77-I77)/(K77-I77),""))</f>
        <v/>
      </c>
      <c r="N77" s="42" t="str">
        <f aca="false">IF(Basis="Compa-ratio",L77,M77)</f>
        <v/>
      </c>
      <c r="O77" s="44" t="str">
        <f aca="false">IF(ISNUMBER(N77),IFERROR(MATCH(N77,Matrix!$C$9:$G$9,1),1),"")</f>
        <v/>
      </c>
      <c r="P77" s="45" t="str">
        <f aca="false">IF(COUNTA($A77:$F77)=0,"",IF(Q77="","Y","N"))</f>
        <v/>
      </c>
      <c r="Q77" s="46" t="str">
        <f aca="false">IF(COUNTA($A77:$F77)=0,"",IF($A77="","ID missing",IF(TRIM($F77)="Exclude","Excluded by plan status",IF(AND(TRIM($F77)&lt;&gt;"",TRIM($F77)&lt;&gt;"Include"),"Plan status not valid (use Include or Exclude)",IF(NOT(ISNUMBER($C77)),"Hire date missing or not a date",IF($C77&gt;Cutoff,"Hired after cutoff",IF(NOT(ISNUMBER($E77)),"Salary missing or not a number",IF($E77&lt;=0,"Salary missing or not a number",IF(OR(NOT(ISNUMBER(I77)),NOT(ISNUMBER(J77)),NOT(ISNUMBER(K77))),"Grade not found in Ranges",IF($D77="","Rating missing",IF($D77="NR","Not rated (NR)",IF(NOT(ISNUMBER(MATCH($D77,Matrix!$A$14:$A$18,0))),"Rating not valid (use 1 to 5 or NR)",IF(NOT(ISNUMBER(O77)),"Band not found (check range and limits)","")))))))))))))</f>
        <v/>
      </c>
      <c r="R77" s="47" t="str">
        <f aca="false">IF($P77="Y",INDEX(Matrix!$C$14:$G$18,MATCH($D77,Matrix!$A$14:$A$18,0),$O77),IF($P77="N",0,""))</f>
        <v/>
      </c>
      <c r="S77" s="47" t="str">
        <f aca="false">IF($P77="Y",IF(AND(ISNUMBER($G77),$G77&gt;=0,$G77&lt;=1),$G77,$R77),IF($P77="N",0,""))</f>
        <v/>
      </c>
      <c r="T77" s="48" t="str">
        <f aca="false">IF($P77&lt;&gt;"Y",IF($P77="N",0,""),IF(ProrateMethod="None",1,IF($C77&lt;=PeriodStart,1,IF(ProrateMethod="Daily",MAX(0,MIN(1,(PeriodEnd-$C77+1)/(PeriodEnd-PeriodStart+1))),MAX(0,MIN(1,((YEAR(PeriodEnd)-YEAR($C77))*12+MONTH(PeriodEnd)-MONTH($C77)+1-IF(DAY($C77)&gt;MonthCutDay,1,0))/PeriodMonths))))))</f>
        <v/>
      </c>
      <c r="U77" s="47" t="str">
        <f aca="false">IF($P77="","",$S77*$T77)</f>
        <v/>
      </c>
      <c r="V77" s="49" t="str">
        <f aca="false">IF($P77="","",IF(ISNUMBER($E77),$E77,0)*$R77)</f>
        <v/>
      </c>
      <c r="W77" s="49" t="str">
        <f aca="false">IF($P77="","",IF(ISNUMBER($E77),$E77,0)*$S77)</f>
        <v/>
      </c>
      <c r="X77" s="49" t="str">
        <f aca="false">IF($P77="","",IF(ISNUMBER($E77),$E77,0)*$U77)</f>
        <v/>
      </c>
      <c r="Y77" s="49" t="str">
        <f aca="false">IF($P77="","",IF(AND(CapAtMax="Yes",$P77="Y"),MAX(0,MIN($X77,$K77-$E77)),$X77))</f>
        <v/>
      </c>
      <c r="Z77" s="41" t="str">
        <f aca="false">IF(OR($P77="",NOT(ISNUMBER($E77))),"",$E77+$Y77)</f>
        <v/>
      </c>
      <c r="AA77" s="42" t="str">
        <f aca="false">IF(AND(ISNUMBER(Z77),ISNUMBER(J77)),IF(J77&gt;0,Z77/J77,""),"")</f>
        <v/>
      </c>
      <c r="AB77" s="46" t="str">
        <f aca="false">IF($P77="","",TRIM(IF(AND($P77="Y",ISNUMBER(K77),ISNUMBER(Z77)),IF(Z77&gt;K77,"Above range max. ",""),"")&amp;IF(AND($P77="Y",ISNUMBER($X77),ISNUMBER($Y77)),IF($X77-$Y77&gt;0.005,"Capped at range max. ",""),"")&amp;IF(AND(AND(ISNUMBER($G77),$G77&gt;=0,$G77&lt;=1),$H77=""),"Override needs a reason. ","")&amp;IF(AND(AND(ISNUMBER($G77),$G77&gt;=0,$G77&lt;=1),$P77&lt;&gt;"Y"),"Override ignored. ","")&amp;IF(AND($G77&lt;&gt;"",NOT(AND(ISNUMBER($G77),$G77&gt;=0,$G77&lt;=1))),"Override not valid, ignored. ","")&amp;IF(AND($A77&lt;&gt;"",COUNTIF($A$5:$A$254,$A77)&gt;1),"Duplicate ID. ","")))</f>
        <v/>
      </c>
    </row>
    <row r="78" customFormat="false" ht="15" hidden="false" customHeight="false" outlineLevel="0" collapsed="false">
      <c r="A78" s="18"/>
      <c r="B78" s="38"/>
      <c r="C78" s="39"/>
      <c r="D78" s="38"/>
      <c r="E78" s="19"/>
      <c r="F78" s="38"/>
      <c r="G78" s="40"/>
      <c r="H78" s="18"/>
      <c r="I78" s="41" t="str">
        <f aca="false">IF(COUNTA($A78:$F78)=0,"",IF($B78="","",IFERROR(INDEX(Ranges!$B$5:$B$16,MATCH($B78,Ranges!$A$5:$A$16,0)),"")))</f>
        <v/>
      </c>
      <c r="J78" s="41" t="str">
        <f aca="false">IF(COUNTA($A78:$F78)=0,"",IF($B78="","",IFERROR(INDEX(Ranges!$C$5:$C$16,MATCH($B78,Ranges!$A$5:$A$16,0)),"")))</f>
        <v/>
      </c>
      <c r="K78" s="41" t="str">
        <f aca="false">IF(COUNTA($A78:$F78)=0,"",IF($B78="","",IFERROR(INDEX(Ranges!$D$5:$D$16,MATCH($B78,Ranges!$A$5:$A$16,0)),"")))</f>
        <v/>
      </c>
      <c r="L78" s="42" t="str">
        <f aca="false">IF(OR(NOT(ISNUMBER($E78)),NOT(ISNUMBER(J78))),"",IF(J78&gt;0,$E78/J78,""))</f>
        <v/>
      </c>
      <c r="M78" s="43" t="str">
        <f aca="false">IF(OR(NOT(ISNUMBER($E78)),NOT(ISNUMBER(I78)),NOT(ISNUMBER(K78))),"",IF(K78&gt;I78,($E78-I78)/(K78-I78),""))</f>
        <v/>
      </c>
      <c r="N78" s="42" t="str">
        <f aca="false">IF(Basis="Compa-ratio",L78,M78)</f>
        <v/>
      </c>
      <c r="O78" s="44" t="str">
        <f aca="false">IF(ISNUMBER(N78),IFERROR(MATCH(N78,Matrix!$C$9:$G$9,1),1),"")</f>
        <v/>
      </c>
      <c r="P78" s="45" t="str">
        <f aca="false">IF(COUNTA($A78:$F78)=0,"",IF(Q78="","Y","N"))</f>
        <v/>
      </c>
      <c r="Q78" s="46" t="str">
        <f aca="false">IF(COUNTA($A78:$F78)=0,"",IF($A78="","ID missing",IF(TRIM($F78)="Exclude","Excluded by plan status",IF(AND(TRIM($F78)&lt;&gt;"",TRIM($F78)&lt;&gt;"Include"),"Plan status not valid (use Include or Exclude)",IF(NOT(ISNUMBER($C78)),"Hire date missing or not a date",IF($C78&gt;Cutoff,"Hired after cutoff",IF(NOT(ISNUMBER($E78)),"Salary missing or not a number",IF($E78&lt;=0,"Salary missing or not a number",IF(OR(NOT(ISNUMBER(I78)),NOT(ISNUMBER(J78)),NOT(ISNUMBER(K78))),"Grade not found in Ranges",IF($D78="","Rating missing",IF($D78="NR","Not rated (NR)",IF(NOT(ISNUMBER(MATCH($D78,Matrix!$A$14:$A$18,0))),"Rating not valid (use 1 to 5 or NR)",IF(NOT(ISNUMBER(O78)),"Band not found (check range and limits)","")))))))))))))</f>
        <v/>
      </c>
      <c r="R78" s="47" t="str">
        <f aca="false">IF($P78="Y",INDEX(Matrix!$C$14:$G$18,MATCH($D78,Matrix!$A$14:$A$18,0),$O78),IF($P78="N",0,""))</f>
        <v/>
      </c>
      <c r="S78" s="47" t="str">
        <f aca="false">IF($P78="Y",IF(AND(ISNUMBER($G78),$G78&gt;=0,$G78&lt;=1),$G78,$R78),IF($P78="N",0,""))</f>
        <v/>
      </c>
      <c r="T78" s="48" t="str">
        <f aca="false">IF($P78&lt;&gt;"Y",IF($P78="N",0,""),IF(ProrateMethod="None",1,IF($C78&lt;=PeriodStart,1,IF(ProrateMethod="Daily",MAX(0,MIN(1,(PeriodEnd-$C78+1)/(PeriodEnd-PeriodStart+1))),MAX(0,MIN(1,((YEAR(PeriodEnd)-YEAR($C78))*12+MONTH(PeriodEnd)-MONTH($C78)+1-IF(DAY($C78)&gt;MonthCutDay,1,0))/PeriodMonths))))))</f>
        <v/>
      </c>
      <c r="U78" s="47" t="str">
        <f aca="false">IF($P78="","",$S78*$T78)</f>
        <v/>
      </c>
      <c r="V78" s="49" t="str">
        <f aca="false">IF($P78="","",IF(ISNUMBER($E78),$E78,0)*$R78)</f>
        <v/>
      </c>
      <c r="W78" s="49" t="str">
        <f aca="false">IF($P78="","",IF(ISNUMBER($E78),$E78,0)*$S78)</f>
        <v/>
      </c>
      <c r="X78" s="49" t="str">
        <f aca="false">IF($P78="","",IF(ISNUMBER($E78),$E78,0)*$U78)</f>
        <v/>
      </c>
      <c r="Y78" s="49" t="str">
        <f aca="false">IF($P78="","",IF(AND(CapAtMax="Yes",$P78="Y"),MAX(0,MIN($X78,$K78-$E78)),$X78))</f>
        <v/>
      </c>
      <c r="Z78" s="41" t="str">
        <f aca="false">IF(OR($P78="",NOT(ISNUMBER($E78))),"",$E78+$Y78)</f>
        <v/>
      </c>
      <c r="AA78" s="42" t="str">
        <f aca="false">IF(AND(ISNUMBER(Z78),ISNUMBER(J78)),IF(J78&gt;0,Z78/J78,""),"")</f>
        <v/>
      </c>
      <c r="AB78" s="46" t="str">
        <f aca="false">IF($P78="","",TRIM(IF(AND($P78="Y",ISNUMBER(K78),ISNUMBER(Z78)),IF(Z78&gt;K78,"Above range max. ",""),"")&amp;IF(AND($P78="Y",ISNUMBER($X78),ISNUMBER($Y78)),IF($X78-$Y78&gt;0.005,"Capped at range max. ",""),"")&amp;IF(AND(AND(ISNUMBER($G78),$G78&gt;=0,$G78&lt;=1),$H78=""),"Override needs a reason. ","")&amp;IF(AND(AND(ISNUMBER($G78),$G78&gt;=0,$G78&lt;=1),$P78&lt;&gt;"Y"),"Override ignored. ","")&amp;IF(AND($G78&lt;&gt;"",NOT(AND(ISNUMBER($G78),$G78&gt;=0,$G78&lt;=1))),"Override not valid, ignored. ","")&amp;IF(AND($A78&lt;&gt;"",COUNTIF($A$5:$A$254,$A78)&gt;1),"Duplicate ID. ","")))</f>
        <v/>
      </c>
    </row>
    <row r="79" customFormat="false" ht="15" hidden="false" customHeight="false" outlineLevel="0" collapsed="false">
      <c r="A79" s="18"/>
      <c r="B79" s="38"/>
      <c r="C79" s="39"/>
      <c r="D79" s="38"/>
      <c r="E79" s="19"/>
      <c r="F79" s="38"/>
      <c r="G79" s="40"/>
      <c r="H79" s="18"/>
      <c r="I79" s="41" t="str">
        <f aca="false">IF(COUNTA($A79:$F79)=0,"",IF($B79="","",IFERROR(INDEX(Ranges!$B$5:$B$16,MATCH($B79,Ranges!$A$5:$A$16,0)),"")))</f>
        <v/>
      </c>
      <c r="J79" s="41" t="str">
        <f aca="false">IF(COUNTA($A79:$F79)=0,"",IF($B79="","",IFERROR(INDEX(Ranges!$C$5:$C$16,MATCH($B79,Ranges!$A$5:$A$16,0)),"")))</f>
        <v/>
      </c>
      <c r="K79" s="41" t="str">
        <f aca="false">IF(COUNTA($A79:$F79)=0,"",IF($B79="","",IFERROR(INDEX(Ranges!$D$5:$D$16,MATCH($B79,Ranges!$A$5:$A$16,0)),"")))</f>
        <v/>
      </c>
      <c r="L79" s="42" t="str">
        <f aca="false">IF(OR(NOT(ISNUMBER($E79)),NOT(ISNUMBER(J79))),"",IF(J79&gt;0,$E79/J79,""))</f>
        <v/>
      </c>
      <c r="M79" s="43" t="str">
        <f aca="false">IF(OR(NOT(ISNUMBER($E79)),NOT(ISNUMBER(I79)),NOT(ISNUMBER(K79))),"",IF(K79&gt;I79,($E79-I79)/(K79-I79),""))</f>
        <v/>
      </c>
      <c r="N79" s="42" t="str">
        <f aca="false">IF(Basis="Compa-ratio",L79,M79)</f>
        <v/>
      </c>
      <c r="O79" s="44" t="str">
        <f aca="false">IF(ISNUMBER(N79),IFERROR(MATCH(N79,Matrix!$C$9:$G$9,1),1),"")</f>
        <v/>
      </c>
      <c r="P79" s="45" t="str">
        <f aca="false">IF(COUNTA($A79:$F79)=0,"",IF(Q79="","Y","N"))</f>
        <v/>
      </c>
      <c r="Q79" s="46" t="str">
        <f aca="false">IF(COUNTA($A79:$F79)=0,"",IF($A79="","ID missing",IF(TRIM($F79)="Exclude","Excluded by plan status",IF(AND(TRIM($F79)&lt;&gt;"",TRIM($F79)&lt;&gt;"Include"),"Plan status not valid (use Include or Exclude)",IF(NOT(ISNUMBER($C79)),"Hire date missing or not a date",IF($C79&gt;Cutoff,"Hired after cutoff",IF(NOT(ISNUMBER($E79)),"Salary missing or not a number",IF($E79&lt;=0,"Salary missing or not a number",IF(OR(NOT(ISNUMBER(I79)),NOT(ISNUMBER(J79)),NOT(ISNUMBER(K79))),"Grade not found in Ranges",IF($D79="","Rating missing",IF($D79="NR","Not rated (NR)",IF(NOT(ISNUMBER(MATCH($D79,Matrix!$A$14:$A$18,0))),"Rating not valid (use 1 to 5 or NR)",IF(NOT(ISNUMBER(O79)),"Band not found (check range and limits)","")))))))))))))</f>
        <v/>
      </c>
      <c r="R79" s="47" t="str">
        <f aca="false">IF($P79="Y",INDEX(Matrix!$C$14:$G$18,MATCH($D79,Matrix!$A$14:$A$18,0),$O79),IF($P79="N",0,""))</f>
        <v/>
      </c>
      <c r="S79" s="47" t="str">
        <f aca="false">IF($P79="Y",IF(AND(ISNUMBER($G79),$G79&gt;=0,$G79&lt;=1),$G79,$R79),IF($P79="N",0,""))</f>
        <v/>
      </c>
      <c r="T79" s="48" t="str">
        <f aca="false">IF($P79&lt;&gt;"Y",IF($P79="N",0,""),IF(ProrateMethod="None",1,IF($C79&lt;=PeriodStart,1,IF(ProrateMethod="Daily",MAX(0,MIN(1,(PeriodEnd-$C79+1)/(PeriodEnd-PeriodStart+1))),MAX(0,MIN(1,((YEAR(PeriodEnd)-YEAR($C79))*12+MONTH(PeriodEnd)-MONTH($C79)+1-IF(DAY($C79)&gt;MonthCutDay,1,0))/PeriodMonths))))))</f>
        <v/>
      </c>
      <c r="U79" s="47" t="str">
        <f aca="false">IF($P79="","",$S79*$T79)</f>
        <v/>
      </c>
      <c r="V79" s="49" t="str">
        <f aca="false">IF($P79="","",IF(ISNUMBER($E79),$E79,0)*$R79)</f>
        <v/>
      </c>
      <c r="W79" s="49" t="str">
        <f aca="false">IF($P79="","",IF(ISNUMBER($E79),$E79,0)*$S79)</f>
        <v/>
      </c>
      <c r="X79" s="49" t="str">
        <f aca="false">IF($P79="","",IF(ISNUMBER($E79),$E79,0)*$U79)</f>
        <v/>
      </c>
      <c r="Y79" s="49" t="str">
        <f aca="false">IF($P79="","",IF(AND(CapAtMax="Yes",$P79="Y"),MAX(0,MIN($X79,$K79-$E79)),$X79))</f>
        <v/>
      </c>
      <c r="Z79" s="41" t="str">
        <f aca="false">IF(OR($P79="",NOT(ISNUMBER($E79))),"",$E79+$Y79)</f>
        <v/>
      </c>
      <c r="AA79" s="42" t="str">
        <f aca="false">IF(AND(ISNUMBER(Z79),ISNUMBER(J79)),IF(J79&gt;0,Z79/J79,""),"")</f>
        <v/>
      </c>
      <c r="AB79" s="46" t="str">
        <f aca="false">IF($P79="","",TRIM(IF(AND($P79="Y",ISNUMBER(K79),ISNUMBER(Z79)),IF(Z79&gt;K79,"Above range max. ",""),"")&amp;IF(AND($P79="Y",ISNUMBER($X79),ISNUMBER($Y79)),IF($X79-$Y79&gt;0.005,"Capped at range max. ",""),"")&amp;IF(AND(AND(ISNUMBER($G79),$G79&gt;=0,$G79&lt;=1),$H79=""),"Override needs a reason. ","")&amp;IF(AND(AND(ISNUMBER($G79),$G79&gt;=0,$G79&lt;=1),$P79&lt;&gt;"Y"),"Override ignored. ","")&amp;IF(AND($G79&lt;&gt;"",NOT(AND(ISNUMBER($G79),$G79&gt;=0,$G79&lt;=1))),"Override not valid, ignored. ","")&amp;IF(AND($A79&lt;&gt;"",COUNTIF($A$5:$A$254,$A79)&gt;1),"Duplicate ID. ","")))</f>
        <v/>
      </c>
    </row>
    <row r="80" customFormat="false" ht="15" hidden="false" customHeight="false" outlineLevel="0" collapsed="false">
      <c r="A80" s="18"/>
      <c r="B80" s="38"/>
      <c r="C80" s="39"/>
      <c r="D80" s="38"/>
      <c r="E80" s="19"/>
      <c r="F80" s="38"/>
      <c r="G80" s="40"/>
      <c r="H80" s="18"/>
      <c r="I80" s="41" t="str">
        <f aca="false">IF(COUNTA($A80:$F80)=0,"",IF($B80="","",IFERROR(INDEX(Ranges!$B$5:$B$16,MATCH($B80,Ranges!$A$5:$A$16,0)),"")))</f>
        <v/>
      </c>
      <c r="J80" s="41" t="str">
        <f aca="false">IF(COUNTA($A80:$F80)=0,"",IF($B80="","",IFERROR(INDEX(Ranges!$C$5:$C$16,MATCH($B80,Ranges!$A$5:$A$16,0)),"")))</f>
        <v/>
      </c>
      <c r="K80" s="41" t="str">
        <f aca="false">IF(COUNTA($A80:$F80)=0,"",IF($B80="","",IFERROR(INDEX(Ranges!$D$5:$D$16,MATCH($B80,Ranges!$A$5:$A$16,0)),"")))</f>
        <v/>
      </c>
      <c r="L80" s="42" t="str">
        <f aca="false">IF(OR(NOT(ISNUMBER($E80)),NOT(ISNUMBER(J80))),"",IF(J80&gt;0,$E80/J80,""))</f>
        <v/>
      </c>
      <c r="M80" s="43" t="str">
        <f aca="false">IF(OR(NOT(ISNUMBER($E80)),NOT(ISNUMBER(I80)),NOT(ISNUMBER(K80))),"",IF(K80&gt;I80,($E80-I80)/(K80-I80),""))</f>
        <v/>
      </c>
      <c r="N80" s="42" t="str">
        <f aca="false">IF(Basis="Compa-ratio",L80,M80)</f>
        <v/>
      </c>
      <c r="O80" s="44" t="str">
        <f aca="false">IF(ISNUMBER(N80),IFERROR(MATCH(N80,Matrix!$C$9:$G$9,1),1),"")</f>
        <v/>
      </c>
      <c r="P80" s="45" t="str">
        <f aca="false">IF(COUNTA($A80:$F80)=0,"",IF(Q80="","Y","N"))</f>
        <v/>
      </c>
      <c r="Q80" s="46" t="str">
        <f aca="false">IF(COUNTA($A80:$F80)=0,"",IF($A80="","ID missing",IF(TRIM($F80)="Exclude","Excluded by plan status",IF(AND(TRIM($F80)&lt;&gt;"",TRIM($F80)&lt;&gt;"Include"),"Plan status not valid (use Include or Exclude)",IF(NOT(ISNUMBER($C80)),"Hire date missing or not a date",IF($C80&gt;Cutoff,"Hired after cutoff",IF(NOT(ISNUMBER($E80)),"Salary missing or not a number",IF($E80&lt;=0,"Salary missing or not a number",IF(OR(NOT(ISNUMBER(I80)),NOT(ISNUMBER(J80)),NOT(ISNUMBER(K80))),"Grade not found in Ranges",IF($D80="","Rating missing",IF($D80="NR","Not rated (NR)",IF(NOT(ISNUMBER(MATCH($D80,Matrix!$A$14:$A$18,0))),"Rating not valid (use 1 to 5 or NR)",IF(NOT(ISNUMBER(O80)),"Band not found (check range and limits)","")))))))))))))</f>
        <v/>
      </c>
      <c r="R80" s="47" t="str">
        <f aca="false">IF($P80="Y",INDEX(Matrix!$C$14:$G$18,MATCH($D80,Matrix!$A$14:$A$18,0),$O80),IF($P80="N",0,""))</f>
        <v/>
      </c>
      <c r="S80" s="47" t="str">
        <f aca="false">IF($P80="Y",IF(AND(ISNUMBER($G80),$G80&gt;=0,$G80&lt;=1),$G80,$R80),IF($P80="N",0,""))</f>
        <v/>
      </c>
      <c r="T80" s="48" t="str">
        <f aca="false">IF($P80&lt;&gt;"Y",IF($P80="N",0,""),IF(ProrateMethod="None",1,IF($C80&lt;=PeriodStart,1,IF(ProrateMethod="Daily",MAX(0,MIN(1,(PeriodEnd-$C80+1)/(PeriodEnd-PeriodStart+1))),MAX(0,MIN(1,((YEAR(PeriodEnd)-YEAR($C80))*12+MONTH(PeriodEnd)-MONTH($C80)+1-IF(DAY($C80)&gt;MonthCutDay,1,0))/PeriodMonths))))))</f>
        <v/>
      </c>
      <c r="U80" s="47" t="str">
        <f aca="false">IF($P80="","",$S80*$T80)</f>
        <v/>
      </c>
      <c r="V80" s="49" t="str">
        <f aca="false">IF($P80="","",IF(ISNUMBER($E80),$E80,0)*$R80)</f>
        <v/>
      </c>
      <c r="W80" s="49" t="str">
        <f aca="false">IF($P80="","",IF(ISNUMBER($E80),$E80,0)*$S80)</f>
        <v/>
      </c>
      <c r="X80" s="49" t="str">
        <f aca="false">IF($P80="","",IF(ISNUMBER($E80),$E80,0)*$U80)</f>
        <v/>
      </c>
      <c r="Y80" s="49" t="str">
        <f aca="false">IF($P80="","",IF(AND(CapAtMax="Yes",$P80="Y"),MAX(0,MIN($X80,$K80-$E80)),$X80))</f>
        <v/>
      </c>
      <c r="Z80" s="41" t="str">
        <f aca="false">IF(OR($P80="",NOT(ISNUMBER($E80))),"",$E80+$Y80)</f>
        <v/>
      </c>
      <c r="AA80" s="42" t="str">
        <f aca="false">IF(AND(ISNUMBER(Z80),ISNUMBER(J80)),IF(J80&gt;0,Z80/J80,""),"")</f>
        <v/>
      </c>
      <c r="AB80" s="46" t="str">
        <f aca="false">IF($P80="","",TRIM(IF(AND($P80="Y",ISNUMBER(K80),ISNUMBER(Z80)),IF(Z80&gt;K80,"Above range max. ",""),"")&amp;IF(AND($P80="Y",ISNUMBER($X80),ISNUMBER($Y80)),IF($X80-$Y80&gt;0.005,"Capped at range max. ",""),"")&amp;IF(AND(AND(ISNUMBER($G80),$G80&gt;=0,$G80&lt;=1),$H80=""),"Override needs a reason. ","")&amp;IF(AND(AND(ISNUMBER($G80),$G80&gt;=0,$G80&lt;=1),$P80&lt;&gt;"Y"),"Override ignored. ","")&amp;IF(AND($G80&lt;&gt;"",NOT(AND(ISNUMBER($G80),$G80&gt;=0,$G80&lt;=1))),"Override not valid, ignored. ","")&amp;IF(AND($A80&lt;&gt;"",COUNTIF($A$5:$A$254,$A80)&gt;1),"Duplicate ID. ","")))</f>
        <v/>
      </c>
    </row>
    <row r="81" customFormat="false" ht="15" hidden="false" customHeight="false" outlineLevel="0" collapsed="false">
      <c r="A81" s="18"/>
      <c r="B81" s="38"/>
      <c r="C81" s="39"/>
      <c r="D81" s="38"/>
      <c r="E81" s="19"/>
      <c r="F81" s="38"/>
      <c r="G81" s="40"/>
      <c r="H81" s="18"/>
      <c r="I81" s="41" t="str">
        <f aca="false">IF(COUNTA($A81:$F81)=0,"",IF($B81="","",IFERROR(INDEX(Ranges!$B$5:$B$16,MATCH($B81,Ranges!$A$5:$A$16,0)),"")))</f>
        <v/>
      </c>
      <c r="J81" s="41" t="str">
        <f aca="false">IF(COUNTA($A81:$F81)=0,"",IF($B81="","",IFERROR(INDEX(Ranges!$C$5:$C$16,MATCH($B81,Ranges!$A$5:$A$16,0)),"")))</f>
        <v/>
      </c>
      <c r="K81" s="41" t="str">
        <f aca="false">IF(COUNTA($A81:$F81)=0,"",IF($B81="","",IFERROR(INDEX(Ranges!$D$5:$D$16,MATCH($B81,Ranges!$A$5:$A$16,0)),"")))</f>
        <v/>
      </c>
      <c r="L81" s="42" t="str">
        <f aca="false">IF(OR(NOT(ISNUMBER($E81)),NOT(ISNUMBER(J81))),"",IF(J81&gt;0,$E81/J81,""))</f>
        <v/>
      </c>
      <c r="M81" s="43" t="str">
        <f aca="false">IF(OR(NOT(ISNUMBER($E81)),NOT(ISNUMBER(I81)),NOT(ISNUMBER(K81))),"",IF(K81&gt;I81,($E81-I81)/(K81-I81),""))</f>
        <v/>
      </c>
      <c r="N81" s="42" t="str">
        <f aca="false">IF(Basis="Compa-ratio",L81,M81)</f>
        <v/>
      </c>
      <c r="O81" s="44" t="str">
        <f aca="false">IF(ISNUMBER(N81),IFERROR(MATCH(N81,Matrix!$C$9:$G$9,1),1),"")</f>
        <v/>
      </c>
      <c r="P81" s="45" t="str">
        <f aca="false">IF(COUNTA($A81:$F81)=0,"",IF(Q81="","Y","N"))</f>
        <v/>
      </c>
      <c r="Q81" s="46" t="str">
        <f aca="false">IF(COUNTA($A81:$F81)=0,"",IF($A81="","ID missing",IF(TRIM($F81)="Exclude","Excluded by plan status",IF(AND(TRIM($F81)&lt;&gt;"",TRIM($F81)&lt;&gt;"Include"),"Plan status not valid (use Include or Exclude)",IF(NOT(ISNUMBER($C81)),"Hire date missing or not a date",IF($C81&gt;Cutoff,"Hired after cutoff",IF(NOT(ISNUMBER($E81)),"Salary missing or not a number",IF($E81&lt;=0,"Salary missing or not a number",IF(OR(NOT(ISNUMBER(I81)),NOT(ISNUMBER(J81)),NOT(ISNUMBER(K81))),"Grade not found in Ranges",IF($D81="","Rating missing",IF($D81="NR","Not rated (NR)",IF(NOT(ISNUMBER(MATCH($D81,Matrix!$A$14:$A$18,0))),"Rating not valid (use 1 to 5 or NR)",IF(NOT(ISNUMBER(O81)),"Band not found (check range and limits)","")))))))))))))</f>
        <v/>
      </c>
      <c r="R81" s="47" t="str">
        <f aca="false">IF($P81="Y",INDEX(Matrix!$C$14:$G$18,MATCH($D81,Matrix!$A$14:$A$18,0),$O81),IF($P81="N",0,""))</f>
        <v/>
      </c>
      <c r="S81" s="47" t="str">
        <f aca="false">IF($P81="Y",IF(AND(ISNUMBER($G81),$G81&gt;=0,$G81&lt;=1),$G81,$R81),IF($P81="N",0,""))</f>
        <v/>
      </c>
      <c r="T81" s="48" t="str">
        <f aca="false">IF($P81&lt;&gt;"Y",IF($P81="N",0,""),IF(ProrateMethod="None",1,IF($C81&lt;=PeriodStart,1,IF(ProrateMethod="Daily",MAX(0,MIN(1,(PeriodEnd-$C81+1)/(PeriodEnd-PeriodStart+1))),MAX(0,MIN(1,((YEAR(PeriodEnd)-YEAR($C81))*12+MONTH(PeriodEnd)-MONTH($C81)+1-IF(DAY($C81)&gt;MonthCutDay,1,0))/PeriodMonths))))))</f>
        <v/>
      </c>
      <c r="U81" s="47" t="str">
        <f aca="false">IF($P81="","",$S81*$T81)</f>
        <v/>
      </c>
      <c r="V81" s="49" t="str">
        <f aca="false">IF($P81="","",IF(ISNUMBER($E81),$E81,0)*$R81)</f>
        <v/>
      </c>
      <c r="W81" s="49" t="str">
        <f aca="false">IF($P81="","",IF(ISNUMBER($E81),$E81,0)*$S81)</f>
        <v/>
      </c>
      <c r="X81" s="49" t="str">
        <f aca="false">IF($P81="","",IF(ISNUMBER($E81),$E81,0)*$U81)</f>
        <v/>
      </c>
      <c r="Y81" s="49" t="str">
        <f aca="false">IF($P81="","",IF(AND(CapAtMax="Yes",$P81="Y"),MAX(0,MIN($X81,$K81-$E81)),$X81))</f>
        <v/>
      </c>
      <c r="Z81" s="41" t="str">
        <f aca="false">IF(OR($P81="",NOT(ISNUMBER($E81))),"",$E81+$Y81)</f>
        <v/>
      </c>
      <c r="AA81" s="42" t="str">
        <f aca="false">IF(AND(ISNUMBER(Z81),ISNUMBER(J81)),IF(J81&gt;0,Z81/J81,""),"")</f>
        <v/>
      </c>
      <c r="AB81" s="46" t="str">
        <f aca="false">IF($P81="","",TRIM(IF(AND($P81="Y",ISNUMBER(K81),ISNUMBER(Z81)),IF(Z81&gt;K81,"Above range max. ",""),"")&amp;IF(AND($P81="Y",ISNUMBER($X81),ISNUMBER($Y81)),IF($X81-$Y81&gt;0.005,"Capped at range max. ",""),"")&amp;IF(AND(AND(ISNUMBER($G81),$G81&gt;=0,$G81&lt;=1),$H81=""),"Override needs a reason. ","")&amp;IF(AND(AND(ISNUMBER($G81),$G81&gt;=0,$G81&lt;=1),$P81&lt;&gt;"Y"),"Override ignored. ","")&amp;IF(AND($G81&lt;&gt;"",NOT(AND(ISNUMBER($G81),$G81&gt;=0,$G81&lt;=1))),"Override not valid, ignored. ","")&amp;IF(AND($A81&lt;&gt;"",COUNTIF($A$5:$A$254,$A81)&gt;1),"Duplicate ID. ","")))</f>
        <v/>
      </c>
    </row>
    <row r="82" customFormat="false" ht="15" hidden="false" customHeight="false" outlineLevel="0" collapsed="false">
      <c r="A82" s="18"/>
      <c r="B82" s="38"/>
      <c r="C82" s="39"/>
      <c r="D82" s="38"/>
      <c r="E82" s="19"/>
      <c r="F82" s="38"/>
      <c r="G82" s="40"/>
      <c r="H82" s="18"/>
      <c r="I82" s="41" t="str">
        <f aca="false">IF(COUNTA($A82:$F82)=0,"",IF($B82="","",IFERROR(INDEX(Ranges!$B$5:$B$16,MATCH($B82,Ranges!$A$5:$A$16,0)),"")))</f>
        <v/>
      </c>
      <c r="J82" s="41" t="str">
        <f aca="false">IF(COUNTA($A82:$F82)=0,"",IF($B82="","",IFERROR(INDEX(Ranges!$C$5:$C$16,MATCH($B82,Ranges!$A$5:$A$16,0)),"")))</f>
        <v/>
      </c>
      <c r="K82" s="41" t="str">
        <f aca="false">IF(COUNTA($A82:$F82)=0,"",IF($B82="","",IFERROR(INDEX(Ranges!$D$5:$D$16,MATCH($B82,Ranges!$A$5:$A$16,0)),"")))</f>
        <v/>
      </c>
      <c r="L82" s="42" t="str">
        <f aca="false">IF(OR(NOT(ISNUMBER($E82)),NOT(ISNUMBER(J82))),"",IF(J82&gt;0,$E82/J82,""))</f>
        <v/>
      </c>
      <c r="M82" s="43" t="str">
        <f aca="false">IF(OR(NOT(ISNUMBER($E82)),NOT(ISNUMBER(I82)),NOT(ISNUMBER(K82))),"",IF(K82&gt;I82,($E82-I82)/(K82-I82),""))</f>
        <v/>
      </c>
      <c r="N82" s="42" t="str">
        <f aca="false">IF(Basis="Compa-ratio",L82,M82)</f>
        <v/>
      </c>
      <c r="O82" s="44" t="str">
        <f aca="false">IF(ISNUMBER(N82),IFERROR(MATCH(N82,Matrix!$C$9:$G$9,1),1),"")</f>
        <v/>
      </c>
      <c r="P82" s="45" t="str">
        <f aca="false">IF(COUNTA($A82:$F82)=0,"",IF(Q82="","Y","N"))</f>
        <v/>
      </c>
      <c r="Q82" s="46" t="str">
        <f aca="false">IF(COUNTA($A82:$F82)=0,"",IF($A82="","ID missing",IF(TRIM($F82)="Exclude","Excluded by plan status",IF(AND(TRIM($F82)&lt;&gt;"",TRIM($F82)&lt;&gt;"Include"),"Plan status not valid (use Include or Exclude)",IF(NOT(ISNUMBER($C82)),"Hire date missing or not a date",IF($C82&gt;Cutoff,"Hired after cutoff",IF(NOT(ISNUMBER($E82)),"Salary missing or not a number",IF($E82&lt;=0,"Salary missing or not a number",IF(OR(NOT(ISNUMBER(I82)),NOT(ISNUMBER(J82)),NOT(ISNUMBER(K82))),"Grade not found in Ranges",IF($D82="","Rating missing",IF($D82="NR","Not rated (NR)",IF(NOT(ISNUMBER(MATCH($D82,Matrix!$A$14:$A$18,0))),"Rating not valid (use 1 to 5 or NR)",IF(NOT(ISNUMBER(O82)),"Band not found (check range and limits)","")))))))))))))</f>
        <v/>
      </c>
      <c r="R82" s="47" t="str">
        <f aca="false">IF($P82="Y",INDEX(Matrix!$C$14:$G$18,MATCH($D82,Matrix!$A$14:$A$18,0),$O82),IF($P82="N",0,""))</f>
        <v/>
      </c>
      <c r="S82" s="47" t="str">
        <f aca="false">IF($P82="Y",IF(AND(ISNUMBER($G82),$G82&gt;=0,$G82&lt;=1),$G82,$R82),IF($P82="N",0,""))</f>
        <v/>
      </c>
      <c r="T82" s="48" t="str">
        <f aca="false">IF($P82&lt;&gt;"Y",IF($P82="N",0,""),IF(ProrateMethod="None",1,IF($C82&lt;=PeriodStart,1,IF(ProrateMethod="Daily",MAX(0,MIN(1,(PeriodEnd-$C82+1)/(PeriodEnd-PeriodStart+1))),MAX(0,MIN(1,((YEAR(PeriodEnd)-YEAR($C82))*12+MONTH(PeriodEnd)-MONTH($C82)+1-IF(DAY($C82)&gt;MonthCutDay,1,0))/PeriodMonths))))))</f>
        <v/>
      </c>
      <c r="U82" s="47" t="str">
        <f aca="false">IF($P82="","",$S82*$T82)</f>
        <v/>
      </c>
      <c r="V82" s="49" t="str">
        <f aca="false">IF($P82="","",IF(ISNUMBER($E82),$E82,0)*$R82)</f>
        <v/>
      </c>
      <c r="W82" s="49" t="str">
        <f aca="false">IF($P82="","",IF(ISNUMBER($E82),$E82,0)*$S82)</f>
        <v/>
      </c>
      <c r="X82" s="49" t="str">
        <f aca="false">IF($P82="","",IF(ISNUMBER($E82),$E82,0)*$U82)</f>
        <v/>
      </c>
      <c r="Y82" s="49" t="str">
        <f aca="false">IF($P82="","",IF(AND(CapAtMax="Yes",$P82="Y"),MAX(0,MIN($X82,$K82-$E82)),$X82))</f>
        <v/>
      </c>
      <c r="Z82" s="41" t="str">
        <f aca="false">IF(OR($P82="",NOT(ISNUMBER($E82))),"",$E82+$Y82)</f>
        <v/>
      </c>
      <c r="AA82" s="42" t="str">
        <f aca="false">IF(AND(ISNUMBER(Z82),ISNUMBER(J82)),IF(J82&gt;0,Z82/J82,""),"")</f>
        <v/>
      </c>
      <c r="AB82" s="46" t="str">
        <f aca="false">IF($P82="","",TRIM(IF(AND($P82="Y",ISNUMBER(K82),ISNUMBER(Z82)),IF(Z82&gt;K82,"Above range max. ",""),"")&amp;IF(AND($P82="Y",ISNUMBER($X82),ISNUMBER($Y82)),IF($X82-$Y82&gt;0.005,"Capped at range max. ",""),"")&amp;IF(AND(AND(ISNUMBER($G82),$G82&gt;=0,$G82&lt;=1),$H82=""),"Override needs a reason. ","")&amp;IF(AND(AND(ISNUMBER($G82),$G82&gt;=0,$G82&lt;=1),$P82&lt;&gt;"Y"),"Override ignored. ","")&amp;IF(AND($G82&lt;&gt;"",NOT(AND(ISNUMBER($G82),$G82&gt;=0,$G82&lt;=1))),"Override not valid, ignored. ","")&amp;IF(AND($A82&lt;&gt;"",COUNTIF($A$5:$A$254,$A82)&gt;1),"Duplicate ID. ","")))</f>
        <v/>
      </c>
    </row>
    <row r="83" customFormat="false" ht="15" hidden="false" customHeight="false" outlineLevel="0" collapsed="false">
      <c r="A83" s="18"/>
      <c r="B83" s="38"/>
      <c r="C83" s="39"/>
      <c r="D83" s="38"/>
      <c r="E83" s="19"/>
      <c r="F83" s="38"/>
      <c r="G83" s="40"/>
      <c r="H83" s="18"/>
      <c r="I83" s="41" t="str">
        <f aca="false">IF(COUNTA($A83:$F83)=0,"",IF($B83="","",IFERROR(INDEX(Ranges!$B$5:$B$16,MATCH($B83,Ranges!$A$5:$A$16,0)),"")))</f>
        <v/>
      </c>
      <c r="J83" s="41" t="str">
        <f aca="false">IF(COUNTA($A83:$F83)=0,"",IF($B83="","",IFERROR(INDEX(Ranges!$C$5:$C$16,MATCH($B83,Ranges!$A$5:$A$16,0)),"")))</f>
        <v/>
      </c>
      <c r="K83" s="41" t="str">
        <f aca="false">IF(COUNTA($A83:$F83)=0,"",IF($B83="","",IFERROR(INDEX(Ranges!$D$5:$D$16,MATCH($B83,Ranges!$A$5:$A$16,0)),"")))</f>
        <v/>
      </c>
      <c r="L83" s="42" t="str">
        <f aca="false">IF(OR(NOT(ISNUMBER($E83)),NOT(ISNUMBER(J83))),"",IF(J83&gt;0,$E83/J83,""))</f>
        <v/>
      </c>
      <c r="M83" s="43" t="str">
        <f aca="false">IF(OR(NOT(ISNUMBER($E83)),NOT(ISNUMBER(I83)),NOT(ISNUMBER(K83))),"",IF(K83&gt;I83,($E83-I83)/(K83-I83),""))</f>
        <v/>
      </c>
      <c r="N83" s="42" t="str">
        <f aca="false">IF(Basis="Compa-ratio",L83,M83)</f>
        <v/>
      </c>
      <c r="O83" s="44" t="str">
        <f aca="false">IF(ISNUMBER(N83),IFERROR(MATCH(N83,Matrix!$C$9:$G$9,1),1),"")</f>
        <v/>
      </c>
      <c r="P83" s="45" t="str">
        <f aca="false">IF(COUNTA($A83:$F83)=0,"",IF(Q83="","Y","N"))</f>
        <v/>
      </c>
      <c r="Q83" s="46" t="str">
        <f aca="false">IF(COUNTA($A83:$F83)=0,"",IF($A83="","ID missing",IF(TRIM($F83)="Exclude","Excluded by plan status",IF(AND(TRIM($F83)&lt;&gt;"",TRIM($F83)&lt;&gt;"Include"),"Plan status not valid (use Include or Exclude)",IF(NOT(ISNUMBER($C83)),"Hire date missing or not a date",IF($C83&gt;Cutoff,"Hired after cutoff",IF(NOT(ISNUMBER($E83)),"Salary missing or not a number",IF($E83&lt;=0,"Salary missing or not a number",IF(OR(NOT(ISNUMBER(I83)),NOT(ISNUMBER(J83)),NOT(ISNUMBER(K83))),"Grade not found in Ranges",IF($D83="","Rating missing",IF($D83="NR","Not rated (NR)",IF(NOT(ISNUMBER(MATCH($D83,Matrix!$A$14:$A$18,0))),"Rating not valid (use 1 to 5 or NR)",IF(NOT(ISNUMBER(O83)),"Band not found (check range and limits)","")))))))))))))</f>
        <v/>
      </c>
      <c r="R83" s="47" t="str">
        <f aca="false">IF($P83="Y",INDEX(Matrix!$C$14:$G$18,MATCH($D83,Matrix!$A$14:$A$18,0),$O83),IF($P83="N",0,""))</f>
        <v/>
      </c>
      <c r="S83" s="47" t="str">
        <f aca="false">IF($P83="Y",IF(AND(ISNUMBER($G83),$G83&gt;=0,$G83&lt;=1),$G83,$R83),IF($P83="N",0,""))</f>
        <v/>
      </c>
      <c r="T83" s="48" t="str">
        <f aca="false">IF($P83&lt;&gt;"Y",IF($P83="N",0,""),IF(ProrateMethod="None",1,IF($C83&lt;=PeriodStart,1,IF(ProrateMethod="Daily",MAX(0,MIN(1,(PeriodEnd-$C83+1)/(PeriodEnd-PeriodStart+1))),MAX(0,MIN(1,((YEAR(PeriodEnd)-YEAR($C83))*12+MONTH(PeriodEnd)-MONTH($C83)+1-IF(DAY($C83)&gt;MonthCutDay,1,0))/PeriodMonths))))))</f>
        <v/>
      </c>
      <c r="U83" s="47" t="str">
        <f aca="false">IF($P83="","",$S83*$T83)</f>
        <v/>
      </c>
      <c r="V83" s="49" t="str">
        <f aca="false">IF($P83="","",IF(ISNUMBER($E83),$E83,0)*$R83)</f>
        <v/>
      </c>
      <c r="W83" s="49" t="str">
        <f aca="false">IF($P83="","",IF(ISNUMBER($E83),$E83,0)*$S83)</f>
        <v/>
      </c>
      <c r="X83" s="49" t="str">
        <f aca="false">IF($P83="","",IF(ISNUMBER($E83),$E83,0)*$U83)</f>
        <v/>
      </c>
      <c r="Y83" s="49" t="str">
        <f aca="false">IF($P83="","",IF(AND(CapAtMax="Yes",$P83="Y"),MAX(0,MIN($X83,$K83-$E83)),$X83))</f>
        <v/>
      </c>
      <c r="Z83" s="41" t="str">
        <f aca="false">IF(OR($P83="",NOT(ISNUMBER($E83))),"",$E83+$Y83)</f>
        <v/>
      </c>
      <c r="AA83" s="42" t="str">
        <f aca="false">IF(AND(ISNUMBER(Z83),ISNUMBER(J83)),IF(J83&gt;0,Z83/J83,""),"")</f>
        <v/>
      </c>
      <c r="AB83" s="46" t="str">
        <f aca="false">IF($P83="","",TRIM(IF(AND($P83="Y",ISNUMBER(K83),ISNUMBER(Z83)),IF(Z83&gt;K83,"Above range max. ",""),"")&amp;IF(AND($P83="Y",ISNUMBER($X83),ISNUMBER($Y83)),IF($X83-$Y83&gt;0.005,"Capped at range max. ",""),"")&amp;IF(AND(AND(ISNUMBER($G83),$G83&gt;=0,$G83&lt;=1),$H83=""),"Override needs a reason. ","")&amp;IF(AND(AND(ISNUMBER($G83),$G83&gt;=0,$G83&lt;=1),$P83&lt;&gt;"Y"),"Override ignored. ","")&amp;IF(AND($G83&lt;&gt;"",NOT(AND(ISNUMBER($G83),$G83&gt;=0,$G83&lt;=1))),"Override not valid, ignored. ","")&amp;IF(AND($A83&lt;&gt;"",COUNTIF($A$5:$A$254,$A83)&gt;1),"Duplicate ID. ","")))</f>
        <v/>
      </c>
    </row>
    <row r="84" customFormat="false" ht="15" hidden="false" customHeight="false" outlineLevel="0" collapsed="false">
      <c r="A84" s="18"/>
      <c r="B84" s="38"/>
      <c r="C84" s="39"/>
      <c r="D84" s="38"/>
      <c r="E84" s="19"/>
      <c r="F84" s="38"/>
      <c r="G84" s="40"/>
      <c r="H84" s="18"/>
      <c r="I84" s="41" t="str">
        <f aca="false">IF(COUNTA($A84:$F84)=0,"",IF($B84="","",IFERROR(INDEX(Ranges!$B$5:$B$16,MATCH($B84,Ranges!$A$5:$A$16,0)),"")))</f>
        <v/>
      </c>
      <c r="J84" s="41" t="str">
        <f aca="false">IF(COUNTA($A84:$F84)=0,"",IF($B84="","",IFERROR(INDEX(Ranges!$C$5:$C$16,MATCH($B84,Ranges!$A$5:$A$16,0)),"")))</f>
        <v/>
      </c>
      <c r="K84" s="41" t="str">
        <f aca="false">IF(COUNTA($A84:$F84)=0,"",IF($B84="","",IFERROR(INDEX(Ranges!$D$5:$D$16,MATCH($B84,Ranges!$A$5:$A$16,0)),"")))</f>
        <v/>
      </c>
      <c r="L84" s="42" t="str">
        <f aca="false">IF(OR(NOT(ISNUMBER($E84)),NOT(ISNUMBER(J84))),"",IF(J84&gt;0,$E84/J84,""))</f>
        <v/>
      </c>
      <c r="M84" s="43" t="str">
        <f aca="false">IF(OR(NOT(ISNUMBER($E84)),NOT(ISNUMBER(I84)),NOT(ISNUMBER(K84))),"",IF(K84&gt;I84,($E84-I84)/(K84-I84),""))</f>
        <v/>
      </c>
      <c r="N84" s="42" t="str">
        <f aca="false">IF(Basis="Compa-ratio",L84,M84)</f>
        <v/>
      </c>
      <c r="O84" s="44" t="str">
        <f aca="false">IF(ISNUMBER(N84),IFERROR(MATCH(N84,Matrix!$C$9:$G$9,1),1),"")</f>
        <v/>
      </c>
      <c r="P84" s="45" t="str">
        <f aca="false">IF(COUNTA($A84:$F84)=0,"",IF(Q84="","Y","N"))</f>
        <v/>
      </c>
      <c r="Q84" s="46" t="str">
        <f aca="false">IF(COUNTA($A84:$F84)=0,"",IF($A84="","ID missing",IF(TRIM($F84)="Exclude","Excluded by plan status",IF(AND(TRIM($F84)&lt;&gt;"",TRIM($F84)&lt;&gt;"Include"),"Plan status not valid (use Include or Exclude)",IF(NOT(ISNUMBER($C84)),"Hire date missing or not a date",IF($C84&gt;Cutoff,"Hired after cutoff",IF(NOT(ISNUMBER($E84)),"Salary missing or not a number",IF($E84&lt;=0,"Salary missing or not a number",IF(OR(NOT(ISNUMBER(I84)),NOT(ISNUMBER(J84)),NOT(ISNUMBER(K84))),"Grade not found in Ranges",IF($D84="","Rating missing",IF($D84="NR","Not rated (NR)",IF(NOT(ISNUMBER(MATCH($D84,Matrix!$A$14:$A$18,0))),"Rating not valid (use 1 to 5 or NR)",IF(NOT(ISNUMBER(O84)),"Band not found (check range and limits)","")))))))))))))</f>
        <v/>
      </c>
      <c r="R84" s="47" t="str">
        <f aca="false">IF($P84="Y",INDEX(Matrix!$C$14:$G$18,MATCH($D84,Matrix!$A$14:$A$18,0),$O84),IF($P84="N",0,""))</f>
        <v/>
      </c>
      <c r="S84" s="47" t="str">
        <f aca="false">IF($P84="Y",IF(AND(ISNUMBER($G84),$G84&gt;=0,$G84&lt;=1),$G84,$R84),IF($P84="N",0,""))</f>
        <v/>
      </c>
      <c r="T84" s="48" t="str">
        <f aca="false">IF($P84&lt;&gt;"Y",IF($P84="N",0,""),IF(ProrateMethod="None",1,IF($C84&lt;=PeriodStart,1,IF(ProrateMethod="Daily",MAX(0,MIN(1,(PeriodEnd-$C84+1)/(PeriodEnd-PeriodStart+1))),MAX(0,MIN(1,((YEAR(PeriodEnd)-YEAR($C84))*12+MONTH(PeriodEnd)-MONTH($C84)+1-IF(DAY($C84)&gt;MonthCutDay,1,0))/PeriodMonths))))))</f>
        <v/>
      </c>
      <c r="U84" s="47" t="str">
        <f aca="false">IF($P84="","",$S84*$T84)</f>
        <v/>
      </c>
      <c r="V84" s="49" t="str">
        <f aca="false">IF($P84="","",IF(ISNUMBER($E84),$E84,0)*$R84)</f>
        <v/>
      </c>
      <c r="W84" s="49" t="str">
        <f aca="false">IF($P84="","",IF(ISNUMBER($E84),$E84,0)*$S84)</f>
        <v/>
      </c>
      <c r="X84" s="49" t="str">
        <f aca="false">IF($P84="","",IF(ISNUMBER($E84),$E84,0)*$U84)</f>
        <v/>
      </c>
      <c r="Y84" s="49" t="str">
        <f aca="false">IF($P84="","",IF(AND(CapAtMax="Yes",$P84="Y"),MAX(0,MIN($X84,$K84-$E84)),$X84))</f>
        <v/>
      </c>
      <c r="Z84" s="41" t="str">
        <f aca="false">IF(OR($P84="",NOT(ISNUMBER($E84))),"",$E84+$Y84)</f>
        <v/>
      </c>
      <c r="AA84" s="42" t="str">
        <f aca="false">IF(AND(ISNUMBER(Z84),ISNUMBER(J84)),IF(J84&gt;0,Z84/J84,""),"")</f>
        <v/>
      </c>
      <c r="AB84" s="46" t="str">
        <f aca="false">IF($P84="","",TRIM(IF(AND($P84="Y",ISNUMBER(K84),ISNUMBER(Z84)),IF(Z84&gt;K84,"Above range max. ",""),"")&amp;IF(AND($P84="Y",ISNUMBER($X84),ISNUMBER($Y84)),IF($X84-$Y84&gt;0.005,"Capped at range max. ",""),"")&amp;IF(AND(AND(ISNUMBER($G84),$G84&gt;=0,$G84&lt;=1),$H84=""),"Override needs a reason. ","")&amp;IF(AND(AND(ISNUMBER($G84),$G84&gt;=0,$G84&lt;=1),$P84&lt;&gt;"Y"),"Override ignored. ","")&amp;IF(AND($G84&lt;&gt;"",NOT(AND(ISNUMBER($G84),$G84&gt;=0,$G84&lt;=1))),"Override not valid, ignored. ","")&amp;IF(AND($A84&lt;&gt;"",COUNTIF($A$5:$A$254,$A84)&gt;1),"Duplicate ID. ","")))</f>
        <v/>
      </c>
    </row>
    <row r="85" customFormat="false" ht="15" hidden="false" customHeight="false" outlineLevel="0" collapsed="false">
      <c r="A85" s="18"/>
      <c r="B85" s="38"/>
      <c r="C85" s="39"/>
      <c r="D85" s="38"/>
      <c r="E85" s="19"/>
      <c r="F85" s="38"/>
      <c r="G85" s="40"/>
      <c r="H85" s="18"/>
      <c r="I85" s="41" t="str">
        <f aca="false">IF(COUNTA($A85:$F85)=0,"",IF($B85="","",IFERROR(INDEX(Ranges!$B$5:$B$16,MATCH($B85,Ranges!$A$5:$A$16,0)),"")))</f>
        <v/>
      </c>
      <c r="J85" s="41" t="str">
        <f aca="false">IF(COUNTA($A85:$F85)=0,"",IF($B85="","",IFERROR(INDEX(Ranges!$C$5:$C$16,MATCH($B85,Ranges!$A$5:$A$16,0)),"")))</f>
        <v/>
      </c>
      <c r="K85" s="41" t="str">
        <f aca="false">IF(COUNTA($A85:$F85)=0,"",IF($B85="","",IFERROR(INDEX(Ranges!$D$5:$D$16,MATCH($B85,Ranges!$A$5:$A$16,0)),"")))</f>
        <v/>
      </c>
      <c r="L85" s="42" t="str">
        <f aca="false">IF(OR(NOT(ISNUMBER($E85)),NOT(ISNUMBER(J85))),"",IF(J85&gt;0,$E85/J85,""))</f>
        <v/>
      </c>
      <c r="M85" s="43" t="str">
        <f aca="false">IF(OR(NOT(ISNUMBER($E85)),NOT(ISNUMBER(I85)),NOT(ISNUMBER(K85))),"",IF(K85&gt;I85,($E85-I85)/(K85-I85),""))</f>
        <v/>
      </c>
      <c r="N85" s="42" t="str">
        <f aca="false">IF(Basis="Compa-ratio",L85,M85)</f>
        <v/>
      </c>
      <c r="O85" s="44" t="str">
        <f aca="false">IF(ISNUMBER(N85),IFERROR(MATCH(N85,Matrix!$C$9:$G$9,1),1),"")</f>
        <v/>
      </c>
      <c r="P85" s="45" t="str">
        <f aca="false">IF(COUNTA($A85:$F85)=0,"",IF(Q85="","Y","N"))</f>
        <v/>
      </c>
      <c r="Q85" s="46" t="str">
        <f aca="false">IF(COUNTA($A85:$F85)=0,"",IF($A85="","ID missing",IF(TRIM($F85)="Exclude","Excluded by plan status",IF(AND(TRIM($F85)&lt;&gt;"",TRIM($F85)&lt;&gt;"Include"),"Plan status not valid (use Include or Exclude)",IF(NOT(ISNUMBER($C85)),"Hire date missing or not a date",IF($C85&gt;Cutoff,"Hired after cutoff",IF(NOT(ISNUMBER($E85)),"Salary missing or not a number",IF($E85&lt;=0,"Salary missing or not a number",IF(OR(NOT(ISNUMBER(I85)),NOT(ISNUMBER(J85)),NOT(ISNUMBER(K85))),"Grade not found in Ranges",IF($D85="","Rating missing",IF($D85="NR","Not rated (NR)",IF(NOT(ISNUMBER(MATCH($D85,Matrix!$A$14:$A$18,0))),"Rating not valid (use 1 to 5 or NR)",IF(NOT(ISNUMBER(O85)),"Band not found (check range and limits)","")))))))))))))</f>
        <v/>
      </c>
      <c r="R85" s="47" t="str">
        <f aca="false">IF($P85="Y",INDEX(Matrix!$C$14:$G$18,MATCH($D85,Matrix!$A$14:$A$18,0),$O85),IF($P85="N",0,""))</f>
        <v/>
      </c>
      <c r="S85" s="47" t="str">
        <f aca="false">IF($P85="Y",IF(AND(ISNUMBER($G85),$G85&gt;=0,$G85&lt;=1),$G85,$R85),IF($P85="N",0,""))</f>
        <v/>
      </c>
      <c r="T85" s="48" t="str">
        <f aca="false">IF($P85&lt;&gt;"Y",IF($P85="N",0,""),IF(ProrateMethod="None",1,IF($C85&lt;=PeriodStart,1,IF(ProrateMethod="Daily",MAX(0,MIN(1,(PeriodEnd-$C85+1)/(PeriodEnd-PeriodStart+1))),MAX(0,MIN(1,((YEAR(PeriodEnd)-YEAR($C85))*12+MONTH(PeriodEnd)-MONTH($C85)+1-IF(DAY($C85)&gt;MonthCutDay,1,0))/PeriodMonths))))))</f>
        <v/>
      </c>
      <c r="U85" s="47" t="str">
        <f aca="false">IF($P85="","",$S85*$T85)</f>
        <v/>
      </c>
      <c r="V85" s="49" t="str">
        <f aca="false">IF($P85="","",IF(ISNUMBER($E85),$E85,0)*$R85)</f>
        <v/>
      </c>
      <c r="W85" s="49" t="str">
        <f aca="false">IF($P85="","",IF(ISNUMBER($E85),$E85,0)*$S85)</f>
        <v/>
      </c>
      <c r="X85" s="49" t="str">
        <f aca="false">IF($P85="","",IF(ISNUMBER($E85),$E85,0)*$U85)</f>
        <v/>
      </c>
      <c r="Y85" s="49" t="str">
        <f aca="false">IF($P85="","",IF(AND(CapAtMax="Yes",$P85="Y"),MAX(0,MIN($X85,$K85-$E85)),$X85))</f>
        <v/>
      </c>
      <c r="Z85" s="41" t="str">
        <f aca="false">IF(OR($P85="",NOT(ISNUMBER($E85))),"",$E85+$Y85)</f>
        <v/>
      </c>
      <c r="AA85" s="42" t="str">
        <f aca="false">IF(AND(ISNUMBER(Z85),ISNUMBER(J85)),IF(J85&gt;0,Z85/J85,""),"")</f>
        <v/>
      </c>
      <c r="AB85" s="46" t="str">
        <f aca="false">IF($P85="","",TRIM(IF(AND($P85="Y",ISNUMBER(K85),ISNUMBER(Z85)),IF(Z85&gt;K85,"Above range max. ",""),"")&amp;IF(AND($P85="Y",ISNUMBER($X85),ISNUMBER($Y85)),IF($X85-$Y85&gt;0.005,"Capped at range max. ",""),"")&amp;IF(AND(AND(ISNUMBER($G85),$G85&gt;=0,$G85&lt;=1),$H85=""),"Override needs a reason. ","")&amp;IF(AND(AND(ISNUMBER($G85),$G85&gt;=0,$G85&lt;=1),$P85&lt;&gt;"Y"),"Override ignored. ","")&amp;IF(AND($G85&lt;&gt;"",NOT(AND(ISNUMBER($G85),$G85&gt;=0,$G85&lt;=1))),"Override not valid, ignored. ","")&amp;IF(AND($A85&lt;&gt;"",COUNTIF($A$5:$A$254,$A85)&gt;1),"Duplicate ID. ","")))</f>
        <v/>
      </c>
    </row>
    <row r="86" customFormat="false" ht="15" hidden="false" customHeight="false" outlineLevel="0" collapsed="false">
      <c r="A86" s="18"/>
      <c r="B86" s="38"/>
      <c r="C86" s="39"/>
      <c r="D86" s="38"/>
      <c r="E86" s="19"/>
      <c r="F86" s="38"/>
      <c r="G86" s="40"/>
      <c r="H86" s="18"/>
      <c r="I86" s="41" t="str">
        <f aca="false">IF(COUNTA($A86:$F86)=0,"",IF($B86="","",IFERROR(INDEX(Ranges!$B$5:$B$16,MATCH($B86,Ranges!$A$5:$A$16,0)),"")))</f>
        <v/>
      </c>
      <c r="J86" s="41" t="str">
        <f aca="false">IF(COUNTA($A86:$F86)=0,"",IF($B86="","",IFERROR(INDEX(Ranges!$C$5:$C$16,MATCH($B86,Ranges!$A$5:$A$16,0)),"")))</f>
        <v/>
      </c>
      <c r="K86" s="41" t="str">
        <f aca="false">IF(COUNTA($A86:$F86)=0,"",IF($B86="","",IFERROR(INDEX(Ranges!$D$5:$D$16,MATCH($B86,Ranges!$A$5:$A$16,0)),"")))</f>
        <v/>
      </c>
      <c r="L86" s="42" t="str">
        <f aca="false">IF(OR(NOT(ISNUMBER($E86)),NOT(ISNUMBER(J86))),"",IF(J86&gt;0,$E86/J86,""))</f>
        <v/>
      </c>
      <c r="M86" s="43" t="str">
        <f aca="false">IF(OR(NOT(ISNUMBER($E86)),NOT(ISNUMBER(I86)),NOT(ISNUMBER(K86))),"",IF(K86&gt;I86,($E86-I86)/(K86-I86),""))</f>
        <v/>
      </c>
      <c r="N86" s="42" t="str">
        <f aca="false">IF(Basis="Compa-ratio",L86,M86)</f>
        <v/>
      </c>
      <c r="O86" s="44" t="str">
        <f aca="false">IF(ISNUMBER(N86),IFERROR(MATCH(N86,Matrix!$C$9:$G$9,1),1),"")</f>
        <v/>
      </c>
      <c r="P86" s="45" t="str">
        <f aca="false">IF(COUNTA($A86:$F86)=0,"",IF(Q86="","Y","N"))</f>
        <v/>
      </c>
      <c r="Q86" s="46" t="str">
        <f aca="false">IF(COUNTA($A86:$F86)=0,"",IF($A86="","ID missing",IF(TRIM($F86)="Exclude","Excluded by plan status",IF(AND(TRIM($F86)&lt;&gt;"",TRIM($F86)&lt;&gt;"Include"),"Plan status not valid (use Include or Exclude)",IF(NOT(ISNUMBER($C86)),"Hire date missing or not a date",IF($C86&gt;Cutoff,"Hired after cutoff",IF(NOT(ISNUMBER($E86)),"Salary missing or not a number",IF($E86&lt;=0,"Salary missing or not a number",IF(OR(NOT(ISNUMBER(I86)),NOT(ISNUMBER(J86)),NOT(ISNUMBER(K86))),"Grade not found in Ranges",IF($D86="","Rating missing",IF($D86="NR","Not rated (NR)",IF(NOT(ISNUMBER(MATCH($D86,Matrix!$A$14:$A$18,0))),"Rating not valid (use 1 to 5 or NR)",IF(NOT(ISNUMBER(O86)),"Band not found (check range and limits)","")))))))))))))</f>
        <v/>
      </c>
      <c r="R86" s="47" t="str">
        <f aca="false">IF($P86="Y",INDEX(Matrix!$C$14:$G$18,MATCH($D86,Matrix!$A$14:$A$18,0),$O86),IF($P86="N",0,""))</f>
        <v/>
      </c>
      <c r="S86" s="47" t="str">
        <f aca="false">IF($P86="Y",IF(AND(ISNUMBER($G86),$G86&gt;=0,$G86&lt;=1),$G86,$R86),IF($P86="N",0,""))</f>
        <v/>
      </c>
      <c r="T86" s="48" t="str">
        <f aca="false">IF($P86&lt;&gt;"Y",IF($P86="N",0,""),IF(ProrateMethod="None",1,IF($C86&lt;=PeriodStart,1,IF(ProrateMethod="Daily",MAX(0,MIN(1,(PeriodEnd-$C86+1)/(PeriodEnd-PeriodStart+1))),MAX(0,MIN(1,((YEAR(PeriodEnd)-YEAR($C86))*12+MONTH(PeriodEnd)-MONTH($C86)+1-IF(DAY($C86)&gt;MonthCutDay,1,0))/PeriodMonths))))))</f>
        <v/>
      </c>
      <c r="U86" s="47" t="str">
        <f aca="false">IF($P86="","",$S86*$T86)</f>
        <v/>
      </c>
      <c r="V86" s="49" t="str">
        <f aca="false">IF($P86="","",IF(ISNUMBER($E86),$E86,0)*$R86)</f>
        <v/>
      </c>
      <c r="W86" s="49" t="str">
        <f aca="false">IF($P86="","",IF(ISNUMBER($E86),$E86,0)*$S86)</f>
        <v/>
      </c>
      <c r="X86" s="49" t="str">
        <f aca="false">IF($P86="","",IF(ISNUMBER($E86),$E86,0)*$U86)</f>
        <v/>
      </c>
      <c r="Y86" s="49" t="str">
        <f aca="false">IF($P86="","",IF(AND(CapAtMax="Yes",$P86="Y"),MAX(0,MIN($X86,$K86-$E86)),$X86))</f>
        <v/>
      </c>
      <c r="Z86" s="41" t="str">
        <f aca="false">IF(OR($P86="",NOT(ISNUMBER($E86))),"",$E86+$Y86)</f>
        <v/>
      </c>
      <c r="AA86" s="42" t="str">
        <f aca="false">IF(AND(ISNUMBER(Z86),ISNUMBER(J86)),IF(J86&gt;0,Z86/J86,""),"")</f>
        <v/>
      </c>
      <c r="AB86" s="46" t="str">
        <f aca="false">IF($P86="","",TRIM(IF(AND($P86="Y",ISNUMBER(K86),ISNUMBER(Z86)),IF(Z86&gt;K86,"Above range max. ",""),"")&amp;IF(AND($P86="Y",ISNUMBER($X86),ISNUMBER($Y86)),IF($X86-$Y86&gt;0.005,"Capped at range max. ",""),"")&amp;IF(AND(AND(ISNUMBER($G86),$G86&gt;=0,$G86&lt;=1),$H86=""),"Override needs a reason. ","")&amp;IF(AND(AND(ISNUMBER($G86),$G86&gt;=0,$G86&lt;=1),$P86&lt;&gt;"Y"),"Override ignored. ","")&amp;IF(AND($G86&lt;&gt;"",NOT(AND(ISNUMBER($G86),$G86&gt;=0,$G86&lt;=1))),"Override not valid, ignored. ","")&amp;IF(AND($A86&lt;&gt;"",COUNTIF($A$5:$A$254,$A86)&gt;1),"Duplicate ID. ","")))</f>
        <v/>
      </c>
    </row>
    <row r="87" customFormat="false" ht="15" hidden="false" customHeight="false" outlineLevel="0" collapsed="false">
      <c r="A87" s="18"/>
      <c r="B87" s="38"/>
      <c r="C87" s="39"/>
      <c r="D87" s="38"/>
      <c r="E87" s="19"/>
      <c r="F87" s="38"/>
      <c r="G87" s="40"/>
      <c r="H87" s="18"/>
      <c r="I87" s="41" t="str">
        <f aca="false">IF(COUNTA($A87:$F87)=0,"",IF($B87="","",IFERROR(INDEX(Ranges!$B$5:$B$16,MATCH($B87,Ranges!$A$5:$A$16,0)),"")))</f>
        <v/>
      </c>
      <c r="J87" s="41" t="str">
        <f aca="false">IF(COUNTA($A87:$F87)=0,"",IF($B87="","",IFERROR(INDEX(Ranges!$C$5:$C$16,MATCH($B87,Ranges!$A$5:$A$16,0)),"")))</f>
        <v/>
      </c>
      <c r="K87" s="41" t="str">
        <f aca="false">IF(COUNTA($A87:$F87)=0,"",IF($B87="","",IFERROR(INDEX(Ranges!$D$5:$D$16,MATCH($B87,Ranges!$A$5:$A$16,0)),"")))</f>
        <v/>
      </c>
      <c r="L87" s="42" t="str">
        <f aca="false">IF(OR(NOT(ISNUMBER($E87)),NOT(ISNUMBER(J87))),"",IF(J87&gt;0,$E87/J87,""))</f>
        <v/>
      </c>
      <c r="M87" s="43" t="str">
        <f aca="false">IF(OR(NOT(ISNUMBER($E87)),NOT(ISNUMBER(I87)),NOT(ISNUMBER(K87))),"",IF(K87&gt;I87,($E87-I87)/(K87-I87),""))</f>
        <v/>
      </c>
      <c r="N87" s="42" t="str">
        <f aca="false">IF(Basis="Compa-ratio",L87,M87)</f>
        <v/>
      </c>
      <c r="O87" s="44" t="str">
        <f aca="false">IF(ISNUMBER(N87),IFERROR(MATCH(N87,Matrix!$C$9:$G$9,1),1),"")</f>
        <v/>
      </c>
      <c r="P87" s="45" t="str">
        <f aca="false">IF(COUNTA($A87:$F87)=0,"",IF(Q87="","Y","N"))</f>
        <v/>
      </c>
      <c r="Q87" s="46" t="str">
        <f aca="false">IF(COUNTA($A87:$F87)=0,"",IF($A87="","ID missing",IF(TRIM($F87)="Exclude","Excluded by plan status",IF(AND(TRIM($F87)&lt;&gt;"",TRIM($F87)&lt;&gt;"Include"),"Plan status not valid (use Include or Exclude)",IF(NOT(ISNUMBER($C87)),"Hire date missing or not a date",IF($C87&gt;Cutoff,"Hired after cutoff",IF(NOT(ISNUMBER($E87)),"Salary missing or not a number",IF($E87&lt;=0,"Salary missing or not a number",IF(OR(NOT(ISNUMBER(I87)),NOT(ISNUMBER(J87)),NOT(ISNUMBER(K87))),"Grade not found in Ranges",IF($D87="","Rating missing",IF($D87="NR","Not rated (NR)",IF(NOT(ISNUMBER(MATCH($D87,Matrix!$A$14:$A$18,0))),"Rating not valid (use 1 to 5 or NR)",IF(NOT(ISNUMBER(O87)),"Band not found (check range and limits)","")))))))))))))</f>
        <v/>
      </c>
      <c r="R87" s="47" t="str">
        <f aca="false">IF($P87="Y",INDEX(Matrix!$C$14:$G$18,MATCH($D87,Matrix!$A$14:$A$18,0),$O87),IF($P87="N",0,""))</f>
        <v/>
      </c>
      <c r="S87" s="47" t="str">
        <f aca="false">IF($P87="Y",IF(AND(ISNUMBER($G87),$G87&gt;=0,$G87&lt;=1),$G87,$R87),IF($P87="N",0,""))</f>
        <v/>
      </c>
      <c r="T87" s="48" t="str">
        <f aca="false">IF($P87&lt;&gt;"Y",IF($P87="N",0,""),IF(ProrateMethod="None",1,IF($C87&lt;=PeriodStart,1,IF(ProrateMethod="Daily",MAX(0,MIN(1,(PeriodEnd-$C87+1)/(PeriodEnd-PeriodStart+1))),MAX(0,MIN(1,((YEAR(PeriodEnd)-YEAR($C87))*12+MONTH(PeriodEnd)-MONTH($C87)+1-IF(DAY($C87)&gt;MonthCutDay,1,0))/PeriodMonths))))))</f>
        <v/>
      </c>
      <c r="U87" s="47" t="str">
        <f aca="false">IF($P87="","",$S87*$T87)</f>
        <v/>
      </c>
      <c r="V87" s="49" t="str">
        <f aca="false">IF($P87="","",IF(ISNUMBER($E87),$E87,0)*$R87)</f>
        <v/>
      </c>
      <c r="W87" s="49" t="str">
        <f aca="false">IF($P87="","",IF(ISNUMBER($E87),$E87,0)*$S87)</f>
        <v/>
      </c>
      <c r="X87" s="49" t="str">
        <f aca="false">IF($P87="","",IF(ISNUMBER($E87),$E87,0)*$U87)</f>
        <v/>
      </c>
      <c r="Y87" s="49" t="str">
        <f aca="false">IF($P87="","",IF(AND(CapAtMax="Yes",$P87="Y"),MAX(0,MIN($X87,$K87-$E87)),$X87))</f>
        <v/>
      </c>
      <c r="Z87" s="41" t="str">
        <f aca="false">IF(OR($P87="",NOT(ISNUMBER($E87))),"",$E87+$Y87)</f>
        <v/>
      </c>
      <c r="AA87" s="42" t="str">
        <f aca="false">IF(AND(ISNUMBER(Z87),ISNUMBER(J87)),IF(J87&gt;0,Z87/J87,""),"")</f>
        <v/>
      </c>
      <c r="AB87" s="46" t="str">
        <f aca="false">IF($P87="","",TRIM(IF(AND($P87="Y",ISNUMBER(K87),ISNUMBER(Z87)),IF(Z87&gt;K87,"Above range max. ",""),"")&amp;IF(AND($P87="Y",ISNUMBER($X87),ISNUMBER($Y87)),IF($X87-$Y87&gt;0.005,"Capped at range max. ",""),"")&amp;IF(AND(AND(ISNUMBER($G87),$G87&gt;=0,$G87&lt;=1),$H87=""),"Override needs a reason. ","")&amp;IF(AND(AND(ISNUMBER($G87),$G87&gt;=0,$G87&lt;=1),$P87&lt;&gt;"Y"),"Override ignored. ","")&amp;IF(AND($G87&lt;&gt;"",NOT(AND(ISNUMBER($G87),$G87&gt;=0,$G87&lt;=1))),"Override not valid, ignored. ","")&amp;IF(AND($A87&lt;&gt;"",COUNTIF($A$5:$A$254,$A87)&gt;1),"Duplicate ID. ","")))</f>
        <v/>
      </c>
    </row>
    <row r="88" customFormat="false" ht="15" hidden="false" customHeight="false" outlineLevel="0" collapsed="false">
      <c r="A88" s="18"/>
      <c r="B88" s="38"/>
      <c r="C88" s="39"/>
      <c r="D88" s="38"/>
      <c r="E88" s="19"/>
      <c r="F88" s="38"/>
      <c r="G88" s="40"/>
      <c r="H88" s="18"/>
      <c r="I88" s="41" t="str">
        <f aca="false">IF(COUNTA($A88:$F88)=0,"",IF($B88="","",IFERROR(INDEX(Ranges!$B$5:$B$16,MATCH($B88,Ranges!$A$5:$A$16,0)),"")))</f>
        <v/>
      </c>
      <c r="J88" s="41" t="str">
        <f aca="false">IF(COUNTA($A88:$F88)=0,"",IF($B88="","",IFERROR(INDEX(Ranges!$C$5:$C$16,MATCH($B88,Ranges!$A$5:$A$16,0)),"")))</f>
        <v/>
      </c>
      <c r="K88" s="41" t="str">
        <f aca="false">IF(COUNTA($A88:$F88)=0,"",IF($B88="","",IFERROR(INDEX(Ranges!$D$5:$D$16,MATCH($B88,Ranges!$A$5:$A$16,0)),"")))</f>
        <v/>
      </c>
      <c r="L88" s="42" t="str">
        <f aca="false">IF(OR(NOT(ISNUMBER($E88)),NOT(ISNUMBER(J88))),"",IF(J88&gt;0,$E88/J88,""))</f>
        <v/>
      </c>
      <c r="M88" s="43" t="str">
        <f aca="false">IF(OR(NOT(ISNUMBER($E88)),NOT(ISNUMBER(I88)),NOT(ISNUMBER(K88))),"",IF(K88&gt;I88,($E88-I88)/(K88-I88),""))</f>
        <v/>
      </c>
      <c r="N88" s="42" t="str">
        <f aca="false">IF(Basis="Compa-ratio",L88,M88)</f>
        <v/>
      </c>
      <c r="O88" s="44" t="str">
        <f aca="false">IF(ISNUMBER(N88),IFERROR(MATCH(N88,Matrix!$C$9:$G$9,1),1),"")</f>
        <v/>
      </c>
      <c r="P88" s="45" t="str">
        <f aca="false">IF(COUNTA($A88:$F88)=0,"",IF(Q88="","Y","N"))</f>
        <v/>
      </c>
      <c r="Q88" s="46" t="str">
        <f aca="false">IF(COUNTA($A88:$F88)=0,"",IF($A88="","ID missing",IF(TRIM($F88)="Exclude","Excluded by plan status",IF(AND(TRIM($F88)&lt;&gt;"",TRIM($F88)&lt;&gt;"Include"),"Plan status not valid (use Include or Exclude)",IF(NOT(ISNUMBER($C88)),"Hire date missing or not a date",IF($C88&gt;Cutoff,"Hired after cutoff",IF(NOT(ISNUMBER($E88)),"Salary missing or not a number",IF($E88&lt;=0,"Salary missing or not a number",IF(OR(NOT(ISNUMBER(I88)),NOT(ISNUMBER(J88)),NOT(ISNUMBER(K88))),"Grade not found in Ranges",IF($D88="","Rating missing",IF($D88="NR","Not rated (NR)",IF(NOT(ISNUMBER(MATCH($D88,Matrix!$A$14:$A$18,0))),"Rating not valid (use 1 to 5 or NR)",IF(NOT(ISNUMBER(O88)),"Band not found (check range and limits)","")))))))))))))</f>
        <v/>
      </c>
      <c r="R88" s="47" t="str">
        <f aca="false">IF($P88="Y",INDEX(Matrix!$C$14:$G$18,MATCH($D88,Matrix!$A$14:$A$18,0),$O88),IF($P88="N",0,""))</f>
        <v/>
      </c>
      <c r="S88" s="47" t="str">
        <f aca="false">IF($P88="Y",IF(AND(ISNUMBER($G88),$G88&gt;=0,$G88&lt;=1),$G88,$R88),IF($P88="N",0,""))</f>
        <v/>
      </c>
      <c r="T88" s="48" t="str">
        <f aca="false">IF($P88&lt;&gt;"Y",IF($P88="N",0,""),IF(ProrateMethod="None",1,IF($C88&lt;=PeriodStart,1,IF(ProrateMethod="Daily",MAX(0,MIN(1,(PeriodEnd-$C88+1)/(PeriodEnd-PeriodStart+1))),MAX(0,MIN(1,((YEAR(PeriodEnd)-YEAR($C88))*12+MONTH(PeriodEnd)-MONTH($C88)+1-IF(DAY($C88)&gt;MonthCutDay,1,0))/PeriodMonths))))))</f>
        <v/>
      </c>
      <c r="U88" s="47" t="str">
        <f aca="false">IF($P88="","",$S88*$T88)</f>
        <v/>
      </c>
      <c r="V88" s="49" t="str">
        <f aca="false">IF($P88="","",IF(ISNUMBER($E88),$E88,0)*$R88)</f>
        <v/>
      </c>
      <c r="W88" s="49" t="str">
        <f aca="false">IF($P88="","",IF(ISNUMBER($E88),$E88,0)*$S88)</f>
        <v/>
      </c>
      <c r="X88" s="49" t="str">
        <f aca="false">IF($P88="","",IF(ISNUMBER($E88),$E88,0)*$U88)</f>
        <v/>
      </c>
      <c r="Y88" s="49" t="str">
        <f aca="false">IF($P88="","",IF(AND(CapAtMax="Yes",$P88="Y"),MAX(0,MIN($X88,$K88-$E88)),$X88))</f>
        <v/>
      </c>
      <c r="Z88" s="41" t="str">
        <f aca="false">IF(OR($P88="",NOT(ISNUMBER($E88))),"",$E88+$Y88)</f>
        <v/>
      </c>
      <c r="AA88" s="42" t="str">
        <f aca="false">IF(AND(ISNUMBER(Z88),ISNUMBER(J88)),IF(J88&gt;0,Z88/J88,""),"")</f>
        <v/>
      </c>
      <c r="AB88" s="46" t="str">
        <f aca="false">IF($P88="","",TRIM(IF(AND($P88="Y",ISNUMBER(K88),ISNUMBER(Z88)),IF(Z88&gt;K88,"Above range max. ",""),"")&amp;IF(AND($P88="Y",ISNUMBER($X88),ISNUMBER($Y88)),IF($X88-$Y88&gt;0.005,"Capped at range max. ",""),"")&amp;IF(AND(AND(ISNUMBER($G88),$G88&gt;=0,$G88&lt;=1),$H88=""),"Override needs a reason. ","")&amp;IF(AND(AND(ISNUMBER($G88),$G88&gt;=0,$G88&lt;=1),$P88&lt;&gt;"Y"),"Override ignored. ","")&amp;IF(AND($G88&lt;&gt;"",NOT(AND(ISNUMBER($G88),$G88&gt;=0,$G88&lt;=1))),"Override not valid, ignored. ","")&amp;IF(AND($A88&lt;&gt;"",COUNTIF($A$5:$A$254,$A88)&gt;1),"Duplicate ID. ","")))</f>
        <v/>
      </c>
    </row>
    <row r="89" customFormat="false" ht="15" hidden="false" customHeight="false" outlineLevel="0" collapsed="false">
      <c r="A89" s="18"/>
      <c r="B89" s="38"/>
      <c r="C89" s="39"/>
      <c r="D89" s="38"/>
      <c r="E89" s="19"/>
      <c r="F89" s="38"/>
      <c r="G89" s="40"/>
      <c r="H89" s="18"/>
      <c r="I89" s="41" t="str">
        <f aca="false">IF(COUNTA($A89:$F89)=0,"",IF($B89="","",IFERROR(INDEX(Ranges!$B$5:$B$16,MATCH($B89,Ranges!$A$5:$A$16,0)),"")))</f>
        <v/>
      </c>
      <c r="J89" s="41" t="str">
        <f aca="false">IF(COUNTA($A89:$F89)=0,"",IF($B89="","",IFERROR(INDEX(Ranges!$C$5:$C$16,MATCH($B89,Ranges!$A$5:$A$16,0)),"")))</f>
        <v/>
      </c>
      <c r="K89" s="41" t="str">
        <f aca="false">IF(COUNTA($A89:$F89)=0,"",IF($B89="","",IFERROR(INDEX(Ranges!$D$5:$D$16,MATCH($B89,Ranges!$A$5:$A$16,0)),"")))</f>
        <v/>
      </c>
      <c r="L89" s="42" t="str">
        <f aca="false">IF(OR(NOT(ISNUMBER($E89)),NOT(ISNUMBER(J89))),"",IF(J89&gt;0,$E89/J89,""))</f>
        <v/>
      </c>
      <c r="M89" s="43" t="str">
        <f aca="false">IF(OR(NOT(ISNUMBER($E89)),NOT(ISNUMBER(I89)),NOT(ISNUMBER(K89))),"",IF(K89&gt;I89,($E89-I89)/(K89-I89),""))</f>
        <v/>
      </c>
      <c r="N89" s="42" t="str">
        <f aca="false">IF(Basis="Compa-ratio",L89,M89)</f>
        <v/>
      </c>
      <c r="O89" s="44" t="str">
        <f aca="false">IF(ISNUMBER(N89),IFERROR(MATCH(N89,Matrix!$C$9:$G$9,1),1),"")</f>
        <v/>
      </c>
      <c r="P89" s="45" t="str">
        <f aca="false">IF(COUNTA($A89:$F89)=0,"",IF(Q89="","Y","N"))</f>
        <v/>
      </c>
      <c r="Q89" s="46" t="str">
        <f aca="false">IF(COUNTA($A89:$F89)=0,"",IF($A89="","ID missing",IF(TRIM($F89)="Exclude","Excluded by plan status",IF(AND(TRIM($F89)&lt;&gt;"",TRIM($F89)&lt;&gt;"Include"),"Plan status not valid (use Include or Exclude)",IF(NOT(ISNUMBER($C89)),"Hire date missing or not a date",IF($C89&gt;Cutoff,"Hired after cutoff",IF(NOT(ISNUMBER($E89)),"Salary missing or not a number",IF($E89&lt;=0,"Salary missing or not a number",IF(OR(NOT(ISNUMBER(I89)),NOT(ISNUMBER(J89)),NOT(ISNUMBER(K89))),"Grade not found in Ranges",IF($D89="","Rating missing",IF($D89="NR","Not rated (NR)",IF(NOT(ISNUMBER(MATCH($D89,Matrix!$A$14:$A$18,0))),"Rating not valid (use 1 to 5 or NR)",IF(NOT(ISNUMBER(O89)),"Band not found (check range and limits)","")))))))))))))</f>
        <v/>
      </c>
      <c r="R89" s="47" t="str">
        <f aca="false">IF($P89="Y",INDEX(Matrix!$C$14:$G$18,MATCH($D89,Matrix!$A$14:$A$18,0),$O89),IF($P89="N",0,""))</f>
        <v/>
      </c>
      <c r="S89" s="47" t="str">
        <f aca="false">IF($P89="Y",IF(AND(ISNUMBER($G89),$G89&gt;=0,$G89&lt;=1),$G89,$R89),IF($P89="N",0,""))</f>
        <v/>
      </c>
      <c r="T89" s="48" t="str">
        <f aca="false">IF($P89&lt;&gt;"Y",IF($P89="N",0,""),IF(ProrateMethod="None",1,IF($C89&lt;=PeriodStart,1,IF(ProrateMethod="Daily",MAX(0,MIN(1,(PeriodEnd-$C89+1)/(PeriodEnd-PeriodStart+1))),MAX(0,MIN(1,((YEAR(PeriodEnd)-YEAR($C89))*12+MONTH(PeriodEnd)-MONTH($C89)+1-IF(DAY($C89)&gt;MonthCutDay,1,0))/PeriodMonths))))))</f>
        <v/>
      </c>
      <c r="U89" s="47" t="str">
        <f aca="false">IF($P89="","",$S89*$T89)</f>
        <v/>
      </c>
      <c r="V89" s="49" t="str">
        <f aca="false">IF($P89="","",IF(ISNUMBER($E89),$E89,0)*$R89)</f>
        <v/>
      </c>
      <c r="W89" s="49" t="str">
        <f aca="false">IF($P89="","",IF(ISNUMBER($E89),$E89,0)*$S89)</f>
        <v/>
      </c>
      <c r="X89" s="49" t="str">
        <f aca="false">IF($P89="","",IF(ISNUMBER($E89),$E89,0)*$U89)</f>
        <v/>
      </c>
      <c r="Y89" s="49" t="str">
        <f aca="false">IF($P89="","",IF(AND(CapAtMax="Yes",$P89="Y"),MAX(0,MIN($X89,$K89-$E89)),$X89))</f>
        <v/>
      </c>
      <c r="Z89" s="41" t="str">
        <f aca="false">IF(OR($P89="",NOT(ISNUMBER($E89))),"",$E89+$Y89)</f>
        <v/>
      </c>
      <c r="AA89" s="42" t="str">
        <f aca="false">IF(AND(ISNUMBER(Z89),ISNUMBER(J89)),IF(J89&gt;0,Z89/J89,""),"")</f>
        <v/>
      </c>
      <c r="AB89" s="46" t="str">
        <f aca="false">IF($P89="","",TRIM(IF(AND($P89="Y",ISNUMBER(K89),ISNUMBER(Z89)),IF(Z89&gt;K89,"Above range max. ",""),"")&amp;IF(AND($P89="Y",ISNUMBER($X89),ISNUMBER($Y89)),IF($X89-$Y89&gt;0.005,"Capped at range max. ",""),"")&amp;IF(AND(AND(ISNUMBER($G89),$G89&gt;=0,$G89&lt;=1),$H89=""),"Override needs a reason. ","")&amp;IF(AND(AND(ISNUMBER($G89),$G89&gt;=0,$G89&lt;=1),$P89&lt;&gt;"Y"),"Override ignored. ","")&amp;IF(AND($G89&lt;&gt;"",NOT(AND(ISNUMBER($G89),$G89&gt;=0,$G89&lt;=1))),"Override not valid, ignored. ","")&amp;IF(AND($A89&lt;&gt;"",COUNTIF($A$5:$A$254,$A89)&gt;1),"Duplicate ID. ","")))</f>
        <v/>
      </c>
    </row>
    <row r="90" customFormat="false" ht="15" hidden="false" customHeight="false" outlineLevel="0" collapsed="false">
      <c r="A90" s="18"/>
      <c r="B90" s="38"/>
      <c r="C90" s="39"/>
      <c r="D90" s="38"/>
      <c r="E90" s="19"/>
      <c r="F90" s="38"/>
      <c r="G90" s="40"/>
      <c r="H90" s="18"/>
      <c r="I90" s="41" t="str">
        <f aca="false">IF(COUNTA($A90:$F90)=0,"",IF($B90="","",IFERROR(INDEX(Ranges!$B$5:$B$16,MATCH($B90,Ranges!$A$5:$A$16,0)),"")))</f>
        <v/>
      </c>
      <c r="J90" s="41" t="str">
        <f aca="false">IF(COUNTA($A90:$F90)=0,"",IF($B90="","",IFERROR(INDEX(Ranges!$C$5:$C$16,MATCH($B90,Ranges!$A$5:$A$16,0)),"")))</f>
        <v/>
      </c>
      <c r="K90" s="41" t="str">
        <f aca="false">IF(COUNTA($A90:$F90)=0,"",IF($B90="","",IFERROR(INDEX(Ranges!$D$5:$D$16,MATCH($B90,Ranges!$A$5:$A$16,0)),"")))</f>
        <v/>
      </c>
      <c r="L90" s="42" t="str">
        <f aca="false">IF(OR(NOT(ISNUMBER($E90)),NOT(ISNUMBER(J90))),"",IF(J90&gt;0,$E90/J90,""))</f>
        <v/>
      </c>
      <c r="M90" s="43" t="str">
        <f aca="false">IF(OR(NOT(ISNUMBER($E90)),NOT(ISNUMBER(I90)),NOT(ISNUMBER(K90))),"",IF(K90&gt;I90,($E90-I90)/(K90-I90),""))</f>
        <v/>
      </c>
      <c r="N90" s="42" t="str">
        <f aca="false">IF(Basis="Compa-ratio",L90,M90)</f>
        <v/>
      </c>
      <c r="O90" s="44" t="str">
        <f aca="false">IF(ISNUMBER(N90),IFERROR(MATCH(N90,Matrix!$C$9:$G$9,1),1),"")</f>
        <v/>
      </c>
      <c r="P90" s="45" t="str">
        <f aca="false">IF(COUNTA($A90:$F90)=0,"",IF(Q90="","Y","N"))</f>
        <v/>
      </c>
      <c r="Q90" s="46" t="str">
        <f aca="false">IF(COUNTA($A90:$F90)=0,"",IF($A90="","ID missing",IF(TRIM($F90)="Exclude","Excluded by plan status",IF(AND(TRIM($F90)&lt;&gt;"",TRIM($F90)&lt;&gt;"Include"),"Plan status not valid (use Include or Exclude)",IF(NOT(ISNUMBER($C90)),"Hire date missing or not a date",IF($C90&gt;Cutoff,"Hired after cutoff",IF(NOT(ISNUMBER($E90)),"Salary missing or not a number",IF($E90&lt;=0,"Salary missing or not a number",IF(OR(NOT(ISNUMBER(I90)),NOT(ISNUMBER(J90)),NOT(ISNUMBER(K90))),"Grade not found in Ranges",IF($D90="","Rating missing",IF($D90="NR","Not rated (NR)",IF(NOT(ISNUMBER(MATCH($D90,Matrix!$A$14:$A$18,0))),"Rating not valid (use 1 to 5 or NR)",IF(NOT(ISNUMBER(O90)),"Band not found (check range and limits)","")))))))))))))</f>
        <v/>
      </c>
      <c r="R90" s="47" t="str">
        <f aca="false">IF($P90="Y",INDEX(Matrix!$C$14:$G$18,MATCH($D90,Matrix!$A$14:$A$18,0),$O90),IF($P90="N",0,""))</f>
        <v/>
      </c>
      <c r="S90" s="47" t="str">
        <f aca="false">IF($P90="Y",IF(AND(ISNUMBER($G90),$G90&gt;=0,$G90&lt;=1),$G90,$R90),IF($P90="N",0,""))</f>
        <v/>
      </c>
      <c r="T90" s="48" t="str">
        <f aca="false">IF($P90&lt;&gt;"Y",IF($P90="N",0,""),IF(ProrateMethod="None",1,IF($C90&lt;=PeriodStart,1,IF(ProrateMethod="Daily",MAX(0,MIN(1,(PeriodEnd-$C90+1)/(PeriodEnd-PeriodStart+1))),MAX(0,MIN(1,((YEAR(PeriodEnd)-YEAR($C90))*12+MONTH(PeriodEnd)-MONTH($C90)+1-IF(DAY($C90)&gt;MonthCutDay,1,0))/PeriodMonths))))))</f>
        <v/>
      </c>
      <c r="U90" s="47" t="str">
        <f aca="false">IF($P90="","",$S90*$T90)</f>
        <v/>
      </c>
      <c r="V90" s="49" t="str">
        <f aca="false">IF($P90="","",IF(ISNUMBER($E90),$E90,0)*$R90)</f>
        <v/>
      </c>
      <c r="W90" s="49" t="str">
        <f aca="false">IF($P90="","",IF(ISNUMBER($E90),$E90,0)*$S90)</f>
        <v/>
      </c>
      <c r="X90" s="49" t="str">
        <f aca="false">IF($P90="","",IF(ISNUMBER($E90),$E90,0)*$U90)</f>
        <v/>
      </c>
      <c r="Y90" s="49" t="str">
        <f aca="false">IF($P90="","",IF(AND(CapAtMax="Yes",$P90="Y"),MAX(0,MIN($X90,$K90-$E90)),$X90))</f>
        <v/>
      </c>
      <c r="Z90" s="41" t="str">
        <f aca="false">IF(OR($P90="",NOT(ISNUMBER($E90))),"",$E90+$Y90)</f>
        <v/>
      </c>
      <c r="AA90" s="42" t="str">
        <f aca="false">IF(AND(ISNUMBER(Z90),ISNUMBER(J90)),IF(J90&gt;0,Z90/J90,""),"")</f>
        <v/>
      </c>
      <c r="AB90" s="46" t="str">
        <f aca="false">IF($P90="","",TRIM(IF(AND($P90="Y",ISNUMBER(K90),ISNUMBER(Z90)),IF(Z90&gt;K90,"Above range max. ",""),"")&amp;IF(AND($P90="Y",ISNUMBER($X90),ISNUMBER($Y90)),IF($X90-$Y90&gt;0.005,"Capped at range max. ",""),"")&amp;IF(AND(AND(ISNUMBER($G90),$G90&gt;=0,$G90&lt;=1),$H90=""),"Override needs a reason. ","")&amp;IF(AND(AND(ISNUMBER($G90),$G90&gt;=0,$G90&lt;=1),$P90&lt;&gt;"Y"),"Override ignored. ","")&amp;IF(AND($G90&lt;&gt;"",NOT(AND(ISNUMBER($G90),$G90&gt;=0,$G90&lt;=1))),"Override not valid, ignored. ","")&amp;IF(AND($A90&lt;&gt;"",COUNTIF($A$5:$A$254,$A90)&gt;1),"Duplicate ID. ","")))</f>
        <v/>
      </c>
    </row>
    <row r="91" customFormat="false" ht="15" hidden="false" customHeight="false" outlineLevel="0" collapsed="false">
      <c r="A91" s="18"/>
      <c r="B91" s="38"/>
      <c r="C91" s="39"/>
      <c r="D91" s="38"/>
      <c r="E91" s="19"/>
      <c r="F91" s="38"/>
      <c r="G91" s="40"/>
      <c r="H91" s="18"/>
      <c r="I91" s="41" t="str">
        <f aca="false">IF(COUNTA($A91:$F91)=0,"",IF($B91="","",IFERROR(INDEX(Ranges!$B$5:$B$16,MATCH($B91,Ranges!$A$5:$A$16,0)),"")))</f>
        <v/>
      </c>
      <c r="J91" s="41" t="str">
        <f aca="false">IF(COUNTA($A91:$F91)=0,"",IF($B91="","",IFERROR(INDEX(Ranges!$C$5:$C$16,MATCH($B91,Ranges!$A$5:$A$16,0)),"")))</f>
        <v/>
      </c>
      <c r="K91" s="41" t="str">
        <f aca="false">IF(COUNTA($A91:$F91)=0,"",IF($B91="","",IFERROR(INDEX(Ranges!$D$5:$D$16,MATCH($B91,Ranges!$A$5:$A$16,0)),"")))</f>
        <v/>
      </c>
      <c r="L91" s="42" t="str">
        <f aca="false">IF(OR(NOT(ISNUMBER($E91)),NOT(ISNUMBER(J91))),"",IF(J91&gt;0,$E91/J91,""))</f>
        <v/>
      </c>
      <c r="M91" s="43" t="str">
        <f aca="false">IF(OR(NOT(ISNUMBER($E91)),NOT(ISNUMBER(I91)),NOT(ISNUMBER(K91))),"",IF(K91&gt;I91,($E91-I91)/(K91-I91),""))</f>
        <v/>
      </c>
      <c r="N91" s="42" t="str">
        <f aca="false">IF(Basis="Compa-ratio",L91,M91)</f>
        <v/>
      </c>
      <c r="O91" s="44" t="str">
        <f aca="false">IF(ISNUMBER(N91),IFERROR(MATCH(N91,Matrix!$C$9:$G$9,1),1),"")</f>
        <v/>
      </c>
      <c r="P91" s="45" t="str">
        <f aca="false">IF(COUNTA($A91:$F91)=0,"",IF(Q91="","Y","N"))</f>
        <v/>
      </c>
      <c r="Q91" s="46" t="str">
        <f aca="false">IF(COUNTA($A91:$F91)=0,"",IF($A91="","ID missing",IF(TRIM($F91)="Exclude","Excluded by plan status",IF(AND(TRIM($F91)&lt;&gt;"",TRIM($F91)&lt;&gt;"Include"),"Plan status not valid (use Include or Exclude)",IF(NOT(ISNUMBER($C91)),"Hire date missing or not a date",IF($C91&gt;Cutoff,"Hired after cutoff",IF(NOT(ISNUMBER($E91)),"Salary missing or not a number",IF($E91&lt;=0,"Salary missing or not a number",IF(OR(NOT(ISNUMBER(I91)),NOT(ISNUMBER(J91)),NOT(ISNUMBER(K91))),"Grade not found in Ranges",IF($D91="","Rating missing",IF($D91="NR","Not rated (NR)",IF(NOT(ISNUMBER(MATCH($D91,Matrix!$A$14:$A$18,0))),"Rating not valid (use 1 to 5 or NR)",IF(NOT(ISNUMBER(O91)),"Band not found (check range and limits)","")))))))))))))</f>
        <v/>
      </c>
      <c r="R91" s="47" t="str">
        <f aca="false">IF($P91="Y",INDEX(Matrix!$C$14:$G$18,MATCH($D91,Matrix!$A$14:$A$18,0),$O91),IF($P91="N",0,""))</f>
        <v/>
      </c>
      <c r="S91" s="47" t="str">
        <f aca="false">IF($P91="Y",IF(AND(ISNUMBER($G91),$G91&gt;=0,$G91&lt;=1),$G91,$R91),IF($P91="N",0,""))</f>
        <v/>
      </c>
      <c r="T91" s="48" t="str">
        <f aca="false">IF($P91&lt;&gt;"Y",IF($P91="N",0,""),IF(ProrateMethod="None",1,IF($C91&lt;=PeriodStart,1,IF(ProrateMethod="Daily",MAX(0,MIN(1,(PeriodEnd-$C91+1)/(PeriodEnd-PeriodStart+1))),MAX(0,MIN(1,((YEAR(PeriodEnd)-YEAR($C91))*12+MONTH(PeriodEnd)-MONTH($C91)+1-IF(DAY($C91)&gt;MonthCutDay,1,0))/PeriodMonths))))))</f>
        <v/>
      </c>
      <c r="U91" s="47" t="str">
        <f aca="false">IF($P91="","",$S91*$T91)</f>
        <v/>
      </c>
      <c r="V91" s="49" t="str">
        <f aca="false">IF($P91="","",IF(ISNUMBER($E91),$E91,0)*$R91)</f>
        <v/>
      </c>
      <c r="W91" s="49" t="str">
        <f aca="false">IF($P91="","",IF(ISNUMBER($E91),$E91,0)*$S91)</f>
        <v/>
      </c>
      <c r="X91" s="49" t="str">
        <f aca="false">IF($P91="","",IF(ISNUMBER($E91),$E91,0)*$U91)</f>
        <v/>
      </c>
      <c r="Y91" s="49" t="str">
        <f aca="false">IF($P91="","",IF(AND(CapAtMax="Yes",$P91="Y"),MAX(0,MIN($X91,$K91-$E91)),$X91))</f>
        <v/>
      </c>
      <c r="Z91" s="41" t="str">
        <f aca="false">IF(OR($P91="",NOT(ISNUMBER($E91))),"",$E91+$Y91)</f>
        <v/>
      </c>
      <c r="AA91" s="42" t="str">
        <f aca="false">IF(AND(ISNUMBER(Z91),ISNUMBER(J91)),IF(J91&gt;0,Z91/J91,""),"")</f>
        <v/>
      </c>
      <c r="AB91" s="46" t="str">
        <f aca="false">IF($P91="","",TRIM(IF(AND($P91="Y",ISNUMBER(K91),ISNUMBER(Z91)),IF(Z91&gt;K91,"Above range max. ",""),"")&amp;IF(AND($P91="Y",ISNUMBER($X91),ISNUMBER($Y91)),IF($X91-$Y91&gt;0.005,"Capped at range max. ",""),"")&amp;IF(AND(AND(ISNUMBER($G91),$G91&gt;=0,$G91&lt;=1),$H91=""),"Override needs a reason. ","")&amp;IF(AND(AND(ISNUMBER($G91),$G91&gt;=0,$G91&lt;=1),$P91&lt;&gt;"Y"),"Override ignored. ","")&amp;IF(AND($G91&lt;&gt;"",NOT(AND(ISNUMBER($G91),$G91&gt;=0,$G91&lt;=1))),"Override not valid, ignored. ","")&amp;IF(AND($A91&lt;&gt;"",COUNTIF($A$5:$A$254,$A91)&gt;1),"Duplicate ID. ","")))</f>
        <v/>
      </c>
    </row>
    <row r="92" customFormat="false" ht="15" hidden="false" customHeight="false" outlineLevel="0" collapsed="false">
      <c r="A92" s="18"/>
      <c r="B92" s="38"/>
      <c r="C92" s="39"/>
      <c r="D92" s="38"/>
      <c r="E92" s="19"/>
      <c r="F92" s="38"/>
      <c r="G92" s="40"/>
      <c r="H92" s="18"/>
      <c r="I92" s="41" t="str">
        <f aca="false">IF(COUNTA($A92:$F92)=0,"",IF($B92="","",IFERROR(INDEX(Ranges!$B$5:$B$16,MATCH($B92,Ranges!$A$5:$A$16,0)),"")))</f>
        <v/>
      </c>
      <c r="J92" s="41" t="str">
        <f aca="false">IF(COUNTA($A92:$F92)=0,"",IF($B92="","",IFERROR(INDEX(Ranges!$C$5:$C$16,MATCH($B92,Ranges!$A$5:$A$16,0)),"")))</f>
        <v/>
      </c>
      <c r="K92" s="41" t="str">
        <f aca="false">IF(COUNTA($A92:$F92)=0,"",IF($B92="","",IFERROR(INDEX(Ranges!$D$5:$D$16,MATCH($B92,Ranges!$A$5:$A$16,0)),"")))</f>
        <v/>
      </c>
      <c r="L92" s="42" t="str">
        <f aca="false">IF(OR(NOT(ISNUMBER($E92)),NOT(ISNUMBER(J92))),"",IF(J92&gt;0,$E92/J92,""))</f>
        <v/>
      </c>
      <c r="M92" s="43" t="str">
        <f aca="false">IF(OR(NOT(ISNUMBER($E92)),NOT(ISNUMBER(I92)),NOT(ISNUMBER(K92))),"",IF(K92&gt;I92,($E92-I92)/(K92-I92),""))</f>
        <v/>
      </c>
      <c r="N92" s="42" t="str">
        <f aca="false">IF(Basis="Compa-ratio",L92,M92)</f>
        <v/>
      </c>
      <c r="O92" s="44" t="str">
        <f aca="false">IF(ISNUMBER(N92),IFERROR(MATCH(N92,Matrix!$C$9:$G$9,1),1),"")</f>
        <v/>
      </c>
      <c r="P92" s="45" t="str">
        <f aca="false">IF(COUNTA($A92:$F92)=0,"",IF(Q92="","Y","N"))</f>
        <v/>
      </c>
      <c r="Q92" s="46" t="str">
        <f aca="false">IF(COUNTA($A92:$F92)=0,"",IF($A92="","ID missing",IF(TRIM($F92)="Exclude","Excluded by plan status",IF(AND(TRIM($F92)&lt;&gt;"",TRIM($F92)&lt;&gt;"Include"),"Plan status not valid (use Include or Exclude)",IF(NOT(ISNUMBER($C92)),"Hire date missing or not a date",IF($C92&gt;Cutoff,"Hired after cutoff",IF(NOT(ISNUMBER($E92)),"Salary missing or not a number",IF($E92&lt;=0,"Salary missing or not a number",IF(OR(NOT(ISNUMBER(I92)),NOT(ISNUMBER(J92)),NOT(ISNUMBER(K92))),"Grade not found in Ranges",IF($D92="","Rating missing",IF($D92="NR","Not rated (NR)",IF(NOT(ISNUMBER(MATCH($D92,Matrix!$A$14:$A$18,0))),"Rating not valid (use 1 to 5 or NR)",IF(NOT(ISNUMBER(O92)),"Band not found (check range and limits)","")))))))))))))</f>
        <v/>
      </c>
      <c r="R92" s="47" t="str">
        <f aca="false">IF($P92="Y",INDEX(Matrix!$C$14:$G$18,MATCH($D92,Matrix!$A$14:$A$18,0),$O92),IF($P92="N",0,""))</f>
        <v/>
      </c>
      <c r="S92" s="47" t="str">
        <f aca="false">IF($P92="Y",IF(AND(ISNUMBER($G92),$G92&gt;=0,$G92&lt;=1),$G92,$R92),IF($P92="N",0,""))</f>
        <v/>
      </c>
      <c r="T92" s="48" t="str">
        <f aca="false">IF($P92&lt;&gt;"Y",IF($P92="N",0,""),IF(ProrateMethod="None",1,IF($C92&lt;=PeriodStart,1,IF(ProrateMethod="Daily",MAX(0,MIN(1,(PeriodEnd-$C92+1)/(PeriodEnd-PeriodStart+1))),MAX(0,MIN(1,((YEAR(PeriodEnd)-YEAR($C92))*12+MONTH(PeriodEnd)-MONTH($C92)+1-IF(DAY($C92)&gt;MonthCutDay,1,0))/PeriodMonths))))))</f>
        <v/>
      </c>
      <c r="U92" s="47" t="str">
        <f aca="false">IF($P92="","",$S92*$T92)</f>
        <v/>
      </c>
      <c r="V92" s="49" t="str">
        <f aca="false">IF($P92="","",IF(ISNUMBER($E92),$E92,0)*$R92)</f>
        <v/>
      </c>
      <c r="W92" s="49" t="str">
        <f aca="false">IF($P92="","",IF(ISNUMBER($E92),$E92,0)*$S92)</f>
        <v/>
      </c>
      <c r="X92" s="49" t="str">
        <f aca="false">IF($P92="","",IF(ISNUMBER($E92),$E92,0)*$U92)</f>
        <v/>
      </c>
      <c r="Y92" s="49" t="str">
        <f aca="false">IF($P92="","",IF(AND(CapAtMax="Yes",$P92="Y"),MAX(0,MIN($X92,$K92-$E92)),$X92))</f>
        <v/>
      </c>
      <c r="Z92" s="41" t="str">
        <f aca="false">IF(OR($P92="",NOT(ISNUMBER($E92))),"",$E92+$Y92)</f>
        <v/>
      </c>
      <c r="AA92" s="42" t="str">
        <f aca="false">IF(AND(ISNUMBER(Z92),ISNUMBER(J92)),IF(J92&gt;0,Z92/J92,""),"")</f>
        <v/>
      </c>
      <c r="AB92" s="46" t="str">
        <f aca="false">IF($P92="","",TRIM(IF(AND($P92="Y",ISNUMBER(K92),ISNUMBER(Z92)),IF(Z92&gt;K92,"Above range max. ",""),"")&amp;IF(AND($P92="Y",ISNUMBER($X92),ISNUMBER($Y92)),IF($X92-$Y92&gt;0.005,"Capped at range max. ",""),"")&amp;IF(AND(AND(ISNUMBER($G92),$G92&gt;=0,$G92&lt;=1),$H92=""),"Override needs a reason. ","")&amp;IF(AND(AND(ISNUMBER($G92),$G92&gt;=0,$G92&lt;=1),$P92&lt;&gt;"Y"),"Override ignored. ","")&amp;IF(AND($G92&lt;&gt;"",NOT(AND(ISNUMBER($G92),$G92&gt;=0,$G92&lt;=1))),"Override not valid, ignored. ","")&amp;IF(AND($A92&lt;&gt;"",COUNTIF($A$5:$A$254,$A92)&gt;1),"Duplicate ID. ","")))</f>
        <v/>
      </c>
    </row>
    <row r="93" customFormat="false" ht="15" hidden="false" customHeight="false" outlineLevel="0" collapsed="false">
      <c r="A93" s="18"/>
      <c r="B93" s="38"/>
      <c r="C93" s="39"/>
      <c r="D93" s="38"/>
      <c r="E93" s="19"/>
      <c r="F93" s="38"/>
      <c r="G93" s="40"/>
      <c r="H93" s="18"/>
      <c r="I93" s="41" t="str">
        <f aca="false">IF(COUNTA($A93:$F93)=0,"",IF($B93="","",IFERROR(INDEX(Ranges!$B$5:$B$16,MATCH($B93,Ranges!$A$5:$A$16,0)),"")))</f>
        <v/>
      </c>
      <c r="J93" s="41" t="str">
        <f aca="false">IF(COUNTA($A93:$F93)=0,"",IF($B93="","",IFERROR(INDEX(Ranges!$C$5:$C$16,MATCH($B93,Ranges!$A$5:$A$16,0)),"")))</f>
        <v/>
      </c>
      <c r="K93" s="41" t="str">
        <f aca="false">IF(COUNTA($A93:$F93)=0,"",IF($B93="","",IFERROR(INDEX(Ranges!$D$5:$D$16,MATCH($B93,Ranges!$A$5:$A$16,0)),"")))</f>
        <v/>
      </c>
      <c r="L93" s="42" t="str">
        <f aca="false">IF(OR(NOT(ISNUMBER($E93)),NOT(ISNUMBER(J93))),"",IF(J93&gt;0,$E93/J93,""))</f>
        <v/>
      </c>
      <c r="M93" s="43" t="str">
        <f aca="false">IF(OR(NOT(ISNUMBER($E93)),NOT(ISNUMBER(I93)),NOT(ISNUMBER(K93))),"",IF(K93&gt;I93,($E93-I93)/(K93-I93),""))</f>
        <v/>
      </c>
      <c r="N93" s="42" t="str">
        <f aca="false">IF(Basis="Compa-ratio",L93,M93)</f>
        <v/>
      </c>
      <c r="O93" s="44" t="str">
        <f aca="false">IF(ISNUMBER(N93),IFERROR(MATCH(N93,Matrix!$C$9:$G$9,1),1),"")</f>
        <v/>
      </c>
      <c r="P93" s="45" t="str">
        <f aca="false">IF(COUNTA($A93:$F93)=0,"",IF(Q93="","Y","N"))</f>
        <v/>
      </c>
      <c r="Q93" s="46" t="str">
        <f aca="false">IF(COUNTA($A93:$F93)=0,"",IF($A93="","ID missing",IF(TRIM($F93)="Exclude","Excluded by plan status",IF(AND(TRIM($F93)&lt;&gt;"",TRIM($F93)&lt;&gt;"Include"),"Plan status not valid (use Include or Exclude)",IF(NOT(ISNUMBER($C93)),"Hire date missing or not a date",IF($C93&gt;Cutoff,"Hired after cutoff",IF(NOT(ISNUMBER($E93)),"Salary missing or not a number",IF($E93&lt;=0,"Salary missing or not a number",IF(OR(NOT(ISNUMBER(I93)),NOT(ISNUMBER(J93)),NOT(ISNUMBER(K93))),"Grade not found in Ranges",IF($D93="","Rating missing",IF($D93="NR","Not rated (NR)",IF(NOT(ISNUMBER(MATCH($D93,Matrix!$A$14:$A$18,0))),"Rating not valid (use 1 to 5 or NR)",IF(NOT(ISNUMBER(O93)),"Band not found (check range and limits)","")))))))))))))</f>
        <v/>
      </c>
      <c r="R93" s="47" t="str">
        <f aca="false">IF($P93="Y",INDEX(Matrix!$C$14:$G$18,MATCH($D93,Matrix!$A$14:$A$18,0),$O93),IF($P93="N",0,""))</f>
        <v/>
      </c>
      <c r="S93" s="47" t="str">
        <f aca="false">IF($P93="Y",IF(AND(ISNUMBER($G93),$G93&gt;=0,$G93&lt;=1),$G93,$R93),IF($P93="N",0,""))</f>
        <v/>
      </c>
      <c r="T93" s="48" t="str">
        <f aca="false">IF($P93&lt;&gt;"Y",IF($P93="N",0,""),IF(ProrateMethod="None",1,IF($C93&lt;=PeriodStart,1,IF(ProrateMethod="Daily",MAX(0,MIN(1,(PeriodEnd-$C93+1)/(PeriodEnd-PeriodStart+1))),MAX(0,MIN(1,((YEAR(PeriodEnd)-YEAR($C93))*12+MONTH(PeriodEnd)-MONTH($C93)+1-IF(DAY($C93)&gt;MonthCutDay,1,0))/PeriodMonths))))))</f>
        <v/>
      </c>
      <c r="U93" s="47" t="str">
        <f aca="false">IF($P93="","",$S93*$T93)</f>
        <v/>
      </c>
      <c r="V93" s="49" t="str">
        <f aca="false">IF($P93="","",IF(ISNUMBER($E93),$E93,0)*$R93)</f>
        <v/>
      </c>
      <c r="W93" s="49" t="str">
        <f aca="false">IF($P93="","",IF(ISNUMBER($E93),$E93,0)*$S93)</f>
        <v/>
      </c>
      <c r="X93" s="49" t="str">
        <f aca="false">IF($P93="","",IF(ISNUMBER($E93),$E93,0)*$U93)</f>
        <v/>
      </c>
      <c r="Y93" s="49" t="str">
        <f aca="false">IF($P93="","",IF(AND(CapAtMax="Yes",$P93="Y"),MAX(0,MIN($X93,$K93-$E93)),$X93))</f>
        <v/>
      </c>
      <c r="Z93" s="41" t="str">
        <f aca="false">IF(OR($P93="",NOT(ISNUMBER($E93))),"",$E93+$Y93)</f>
        <v/>
      </c>
      <c r="AA93" s="42" t="str">
        <f aca="false">IF(AND(ISNUMBER(Z93),ISNUMBER(J93)),IF(J93&gt;0,Z93/J93,""),"")</f>
        <v/>
      </c>
      <c r="AB93" s="46" t="str">
        <f aca="false">IF($P93="","",TRIM(IF(AND($P93="Y",ISNUMBER(K93),ISNUMBER(Z93)),IF(Z93&gt;K93,"Above range max. ",""),"")&amp;IF(AND($P93="Y",ISNUMBER($X93),ISNUMBER($Y93)),IF($X93-$Y93&gt;0.005,"Capped at range max. ",""),"")&amp;IF(AND(AND(ISNUMBER($G93),$G93&gt;=0,$G93&lt;=1),$H93=""),"Override needs a reason. ","")&amp;IF(AND(AND(ISNUMBER($G93),$G93&gt;=0,$G93&lt;=1),$P93&lt;&gt;"Y"),"Override ignored. ","")&amp;IF(AND($G93&lt;&gt;"",NOT(AND(ISNUMBER($G93),$G93&gt;=0,$G93&lt;=1))),"Override not valid, ignored. ","")&amp;IF(AND($A93&lt;&gt;"",COUNTIF($A$5:$A$254,$A93)&gt;1),"Duplicate ID. ","")))</f>
        <v/>
      </c>
    </row>
    <row r="94" customFormat="false" ht="15" hidden="false" customHeight="false" outlineLevel="0" collapsed="false">
      <c r="A94" s="18"/>
      <c r="B94" s="38"/>
      <c r="C94" s="39"/>
      <c r="D94" s="38"/>
      <c r="E94" s="19"/>
      <c r="F94" s="38"/>
      <c r="G94" s="40"/>
      <c r="H94" s="18"/>
      <c r="I94" s="41" t="str">
        <f aca="false">IF(COUNTA($A94:$F94)=0,"",IF($B94="","",IFERROR(INDEX(Ranges!$B$5:$B$16,MATCH($B94,Ranges!$A$5:$A$16,0)),"")))</f>
        <v/>
      </c>
      <c r="J94" s="41" t="str">
        <f aca="false">IF(COUNTA($A94:$F94)=0,"",IF($B94="","",IFERROR(INDEX(Ranges!$C$5:$C$16,MATCH($B94,Ranges!$A$5:$A$16,0)),"")))</f>
        <v/>
      </c>
      <c r="K94" s="41" t="str">
        <f aca="false">IF(COUNTA($A94:$F94)=0,"",IF($B94="","",IFERROR(INDEX(Ranges!$D$5:$D$16,MATCH($B94,Ranges!$A$5:$A$16,0)),"")))</f>
        <v/>
      </c>
      <c r="L94" s="42" t="str">
        <f aca="false">IF(OR(NOT(ISNUMBER($E94)),NOT(ISNUMBER(J94))),"",IF(J94&gt;0,$E94/J94,""))</f>
        <v/>
      </c>
      <c r="M94" s="43" t="str">
        <f aca="false">IF(OR(NOT(ISNUMBER($E94)),NOT(ISNUMBER(I94)),NOT(ISNUMBER(K94))),"",IF(K94&gt;I94,($E94-I94)/(K94-I94),""))</f>
        <v/>
      </c>
      <c r="N94" s="42" t="str">
        <f aca="false">IF(Basis="Compa-ratio",L94,M94)</f>
        <v/>
      </c>
      <c r="O94" s="44" t="str">
        <f aca="false">IF(ISNUMBER(N94),IFERROR(MATCH(N94,Matrix!$C$9:$G$9,1),1),"")</f>
        <v/>
      </c>
      <c r="P94" s="45" t="str">
        <f aca="false">IF(COUNTA($A94:$F94)=0,"",IF(Q94="","Y","N"))</f>
        <v/>
      </c>
      <c r="Q94" s="46" t="str">
        <f aca="false">IF(COUNTA($A94:$F94)=0,"",IF($A94="","ID missing",IF(TRIM($F94)="Exclude","Excluded by plan status",IF(AND(TRIM($F94)&lt;&gt;"",TRIM($F94)&lt;&gt;"Include"),"Plan status not valid (use Include or Exclude)",IF(NOT(ISNUMBER($C94)),"Hire date missing or not a date",IF($C94&gt;Cutoff,"Hired after cutoff",IF(NOT(ISNUMBER($E94)),"Salary missing or not a number",IF($E94&lt;=0,"Salary missing or not a number",IF(OR(NOT(ISNUMBER(I94)),NOT(ISNUMBER(J94)),NOT(ISNUMBER(K94))),"Grade not found in Ranges",IF($D94="","Rating missing",IF($D94="NR","Not rated (NR)",IF(NOT(ISNUMBER(MATCH($D94,Matrix!$A$14:$A$18,0))),"Rating not valid (use 1 to 5 or NR)",IF(NOT(ISNUMBER(O94)),"Band not found (check range and limits)","")))))))))))))</f>
        <v/>
      </c>
      <c r="R94" s="47" t="str">
        <f aca="false">IF($P94="Y",INDEX(Matrix!$C$14:$G$18,MATCH($D94,Matrix!$A$14:$A$18,0),$O94),IF($P94="N",0,""))</f>
        <v/>
      </c>
      <c r="S94" s="47" t="str">
        <f aca="false">IF($P94="Y",IF(AND(ISNUMBER($G94),$G94&gt;=0,$G94&lt;=1),$G94,$R94),IF($P94="N",0,""))</f>
        <v/>
      </c>
      <c r="T94" s="48" t="str">
        <f aca="false">IF($P94&lt;&gt;"Y",IF($P94="N",0,""),IF(ProrateMethod="None",1,IF($C94&lt;=PeriodStart,1,IF(ProrateMethod="Daily",MAX(0,MIN(1,(PeriodEnd-$C94+1)/(PeriodEnd-PeriodStart+1))),MAX(0,MIN(1,((YEAR(PeriodEnd)-YEAR($C94))*12+MONTH(PeriodEnd)-MONTH($C94)+1-IF(DAY($C94)&gt;MonthCutDay,1,0))/PeriodMonths))))))</f>
        <v/>
      </c>
      <c r="U94" s="47" t="str">
        <f aca="false">IF($P94="","",$S94*$T94)</f>
        <v/>
      </c>
      <c r="V94" s="49" t="str">
        <f aca="false">IF($P94="","",IF(ISNUMBER($E94),$E94,0)*$R94)</f>
        <v/>
      </c>
      <c r="W94" s="49" t="str">
        <f aca="false">IF($P94="","",IF(ISNUMBER($E94),$E94,0)*$S94)</f>
        <v/>
      </c>
      <c r="X94" s="49" t="str">
        <f aca="false">IF($P94="","",IF(ISNUMBER($E94),$E94,0)*$U94)</f>
        <v/>
      </c>
      <c r="Y94" s="49" t="str">
        <f aca="false">IF($P94="","",IF(AND(CapAtMax="Yes",$P94="Y"),MAX(0,MIN($X94,$K94-$E94)),$X94))</f>
        <v/>
      </c>
      <c r="Z94" s="41" t="str">
        <f aca="false">IF(OR($P94="",NOT(ISNUMBER($E94))),"",$E94+$Y94)</f>
        <v/>
      </c>
      <c r="AA94" s="42" t="str">
        <f aca="false">IF(AND(ISNUMBER(Z94),ISNUMBER(J94)),IF(J94&gt;0,Z94/J94,""),"")</f>
        <v/>
      </c>
      <c r="AB94" s="46" t="str">
        <f aca="false">IF($P94="","",TRIM(IF(AND($P94="Y",ISNUMBER(K94),ISNUMBER(Z94)),IF(Z94&gt;K94,"Above range max. ",""),"")&amp;IF(AND($P94="Y",ISNUMBER($X94),ISNUMBER($Y94)),IF($X94-$Y94&gt;0.005,"Capped at range max. ",""),"")&amp;IF(AND(AND(ISNUMBER($G94),$G94&gt;=0,$G94&lt;=1),$H94=""),"Override needs a reason. ","")&amp;IF(AND(AND(ISNUMBER($G94),$G94&gt;=0,$G94&lt;=1),$P94&lt;&gt;"Y"),"Override ignored. ","")&amp;IF(AND($G94&lt;&gt;"",NOT(AND(ISNUMBER($G94),$G94&gt;=0,$G94&lt;=1))),"Override not valid, ignored. ","")&amp;IF(AND($A94&lt;&gt;"",COUNTIF($A$5:$A$254,$A94)&gt;1),"Duplicate ID. ","")))</f>
        <v/>
      </c>
    </row>
    <row r="95" customFormat="false" ht="15" hidden="false" customHeight="false" outlineLevel="0" collapsed="false">
      <c r="A95" s="18"/>
      <c r="B95" s="38"/>
      <c r="C95" s="39"/>
      <c r="D95" s="38"/>
      <c r="E95" s="19"/>
      <c r="F95" s="38"/>
      <c r="G95" s="40"/>
      <c r="H95" s="18"/>
      <c r="I95" s="41" t="str">
        <f aca="false">IF(COUNTA($A95:$F95)=0,"",IF($B95="","",IFERROR(INDEX(Ranges!$B$5:$B$16,MATCH($B95,Ranges!$A$5:$A$16,0)),"")))</f>
        <v/>
      </c>
      <c r="J95" s="41" t="str">
        <f aca="false">IF(COUNTA($A95:$F95)=0,"",IF($B95="","",IFERROR(INDEX(Ranges!$C$5:$C$16,MATCH($B95,Ranges!$A$5:$A$16,0)),"")))</f>
        <v/>
      </c>
      <c r="K95" s="41" t="str">
        <f aca="false">IF(COUNTA($A95:$F95)=0,"",IF($B95="","",IFERROR(INDEX(Ranges!$D$5:$D$16,MATCH($B95,Ranges!$A$5:$A$16,0)),"")))</f>
        <v/>
      </c>
      <c r="L95" s="42" t="str">
        <f aca="false">IF(OR(NOT(ISNUMBER($E95)),NOT(ISNUMBER(J95))),"",IF(J95&gt;0,$E95/J95,""))</f>
        <v/>
      </c>
      <c r="M95" s="43" t="str">
        <f aca="false">IF(OR(NOT(ISNUMBER($E95)),NOT(ISNUMBER(I95)),NOT(ISNUMBER(K95))),"",IF(K95&gt;I95,($E95-I95)/(K95-I95),""))</f>
        <v/>
      </c>
      <c r="N95" s="42" t="str">
        <f aca="false">IF(Basis="Compa-ratio",L95,M95)</f>
        <v/>
      </c>
      <c r="O95" s="44" t="str">
        <f aca="false">IF(ISNUMBER(N95),IFERROR(MATCH(N95,Matrix!$C$9:$G$9,1),1),"")</f>
        <v/>
      </c>
      <c r="P95" s="45" t="str">
        <f aca="false">IF(COUNTA($A95:$F95)=0,"",IF(Q95="","Y","N"))</f>
        <v/>
      </c>
      <c r="Q95" s="46" t="str">
        <f aca="false">IF(COUNTA($A95:$F95)=0,"",IF($A95="","ID missing",IF(TRIM($F95)="Exclude","Excluded by plan status",IF(AND(TRIM($F95)&lt;&gt;"",TRIM($F95)&lt;&gt;"Include"),"Plan status not valid (use Include or Exclude)",IF(NOT(ISNUMBER($C95)),"Hire date missing or not a date",IF($C95&gt;Cutoff,"Hired after cutoff",IF(NOT(ISNUMBER($E95)),"Salary missing or not a number",IF($E95&lt;=0,"Salary missing or not a number",IF(OR(NOT(ISNUMBER(I95)),NOT(ISNUMBER(J95)),NOT(ISNUMBER(K95))),"Grade not found in Ranges",IF($D95="","Rating missing",IF($D95="NR","Not rated (NR)",IF(NOT(ISNUMBER(MATCH($D95,Matrix!$A$14:$A$18,0))),"Rating not valid (use 1 to 5 or NR)",IF(NOT(ISNUMBER(O95)),"Band not found (check range and limits)","")))))))))))))</f>
        <v/>
      </c>
      <c r="R95" s="47" t="str">
        <f aca="false">IF($P95="Y",INDEX(Matrix!$C$14:$G$18,MATCH($D95,Matrix!$A$14:$A$18,0),$O95),IF($P95="N",0,""))</f>
        <v/>
      </c>
      <c r="S95" s="47" t="str">
        <f aca="false">IF($P95="Y",IF(AND(ISNUMBER($G95),$G95&gt;=0,$G95&lt;=1),$G95,$R95),IF($P95="N",0,""))</f>
        <v/>
      </c>
      <c r="T95" s="48" t="str">
        <f aca="false">IF($P95&lt;&gt;"Y",IF($P95="N",0,""),IF(ProrateMethod="None",1,IF($C95&lt;=PeriodStart,1,IF(ProrateMethod="Daily",MAX(0,MIN(1,(PeriodEnd-$C95+1)/(PeriodEnd-PeriodStart+1))),MAX(0,MIN(1,((YEAR(PeriodEnd)-YEAR($C95))*12+MONTH(PeriodEnd)-MONTH($C95)+1-IF(DAY($C95)&gt;MonthCutDay,1,0))/PeriodMonths))))))</f>
        <v/>
      </c>
      <c r="U95" s="47" t="str">
        <f aca="false">IF($P95="","",$S95*$T95)</f>
        <v/>
      </c>
      <c r="V95" s="49" t="str">
        <f aca="false">IF($P95="","",IF(ISNUMBER($E95),$E95,0)*$R95)</f>
        <v/>
      </c>
      <c r="W95" s="49" t="str">
        <f aca="false">IF($P95="","",IF(ISNUMBER($E95),$E95,0)*$S95)</f>
        <v/>
      </c>
      <c r="X95" s="49" t="str">
        <f aca="false">IF($P95="","",IF(ISNUMBER($E95),$E95,0)*$U95)</f>
        <v/>
      </c>
      <c r="Y95" s="49" t="str">
        <f aca="false">IF($P95="","",IF(AND(CapAtMax="Yes",$P95="Y"),MAX(0,MIN($X95,$K95-$E95)),$X95))</f>
        <v/>
      </c>
      <c r="Z95" s="41" t="str">
        <f aca="false">IF(OR($P95="",NOT(ISNUMBER($E95))),"",$E95+$Y95)</f>
        <v/>
      </c>
      <c r="AA95" s="42" t="str">
        <f aca="false">IF(AND(ISNUMBER(Z95),ISNUMBER(J95)),IF(J95&gt;0,Z95/J95,""),"")</f>
        <v/>
      </c>
      <c r="AB95" s="46" t="str">
        <f aca="false">IF($P95="","",TRIM(IF(AND($P95="Y",ISNUMBER(K95),ISNUMBER(Z95)),IF(Z95&gt;K95,"Above range max. ",""),"")&amp;IF(AND($P95="Y",ISNUMBER($X95),ISNUMBER($Y95)),IF($X95-$Y95&gt;0.005,"Capped at range max. ",""),"")&amp;IF(AND(AND(ISNUMBER($G95),$G95&gt;=0,$G95&lt;=1),$H95=""),"Override needs a reason. ","")&amp;IF(AND(AND(ISNUMBER($G95),$G95&gt;=0,$G95&lt;=1),$P95&lt;&gt;"Y"),"Override ignored. ","")&amp;IF(AND($G95&lt;&gt;"",NOT(AND(ISNUMBER($G95),$G95&gt;=0,$G95&lt;=1))),"Override not valid, ignored. ","")&amp;IF(AND($A95&lt;&gt;"",COUNTIF($A$5:$A$254,$A95)&gt;1),"Duplicate ID. ","")))</f>
        <v/>
      </c>
    </row>
    <row r="96" customFormat="false" ht="15" hidden="false" customHeight="false" outlineLevel="0" collapsed="false">
      <c r="A96" s="18"/>
      <c r="B96" s="38"/>
      <c r="C96" s="39"/>
      <c r="D96" s="38"/>
      <c r="E96" s="19"/>
      <c r="F96" s="38"/>
      <c r="G96" s="40"/>
      <c r="H96" s="18"/>
      <c r="I96" s="41" t="str">
        <f aca="false">IF(COUNTA($A96:$F96)=0,"",IF($B96="","",IFERROR(INDEX(Ranges!$B$5:$B$16,MATCH($B96,Ranges!$A$5:$A$16,0)),"")))</f>
        <v/>
      </c>
      <c r="J96" s="41" t="str">
        <f aca="false">IF(COUNTA($A96:$F96)=0,"",IF($B96="","",IFERROR(INDEX(Ranges!$C$5:$C$16,MATCH($B96,Ranges!$A$5:$A$16,0)),"")))</f>
        <v/>
      </c>
      <c r="K96" s="41" t="str">
        <f aca="false">IF(COUNTA($A96:$F96)=0,"",IF($B96="","",IFERROR(INDEX(Ranges!$D$5:$D$16,MATCH($B96,Ranges!$A$5:$A$16,0)),"")))</f>
        <v/>
      </c>
      <c r="L96" s="42" t="str">
        <f aca="false">IF(OR(NOT(ISNUMBER($E96)),NOT(ISNUMBER(J96))),"",IF(J96&gt;0,$E96/J96,""))</f>
        <v/>
      </c>
      <c r="M96" s="43" t="str">
        <f aca="false">IF(OR(NOT(ISNUMBER($E96)),NOT(ISNUMBER(I96)),NOT(ISNUMBER(K96))),"",IF(K96&gt;I96,($E96-I96)/(K96-I96),""))</f>
        <v/>
      </c>
      <c r="N96" s="42" t="str">
        <f aca="false">IF(Basis="Compa-ratio",L96,M96)</f>
        <v/>
      </c>
      <c r="O96" s="44" t="str">
        <f aca="false">IF(ISNUMBER(N96),IFERROR(MATCH(N96,Matrix!$C$9:$G$9,1),1),"")</f>
        <v/>
      </c>
      <c r="P96" s="45" t="str">
        <f aca="false">IF(COUNTA($A96:$F96)=0,"",IF(Q96="","Y","N"))</f>
        <v/>
      </c>
      <c r="Q96" s="46" t="str">
        <f aca="false">IF(COUNTA($A96:$F96)=0,"",IF($A96="","ID missing",IF(TRIM($F96)="Exclude","Excluded by plan status",IF(AND(TRIM($F96)&lt;&gt;"",TRIM($F96)&lt;&gt;"Include"),"Plan status not valid (use Include or Exclude)",IF(NOT(ISNUMBER($C96)),"Hire date missing or not a date",IF($C96&gt;Cutoff,"Hired after cutoff",IF(NOT(ISNUMBER($E96)),"Salary missing or not a number",IF($E96&lt;=0,"Salary missing or not a number",IF(OR(NOT(ISNUMBER(I96)),NOT(ISNUMBER(J96)),NOT(ISNUMBER(K96))),"Grade not found in Ranges",IF($D96="","Rating missing",IF($D96="NR","Not rated (NR)",IF(NOT(ISNUMBER(MATCH($D96,Matrix!$A$14:$A$18,0))),"Rating not valid (use 1 to 5 or NR)",IF(NOT(ISNUMBER(O96)),"Band not found (check range and limits)","")))))))))))))</f>
        <v/>
      </c>
      <c r="R96" s="47" t="str">
        <f aca="false">IF($P96="Y",INDEX(Matrix!$C$14:$G$18,MATCH($D96,Matrix!$A$14:$A$18,0),$O96),IF($P96="N",0,""))</f>
        <v/>
      </c>
      <c r="S96" s="47" t="str">
        <f aca="false">IF($P96="Y",IF(AND(ISNUMBER($G96),$G96&gt;=0,$G96&lt;=1),$G96,$R96),IF($P96="N",0,""))</f>
        <v/>
      </c>
      <c r="T96" s="48" t="str">
        <f aca="false">IF($P96&lt;&gt;"Y",IF($P96="N",0,""),IF(ProrateMethod="None",1,IF($C96&lt;=PeriodStart,1,IF(ProrateMethod="Daily",MAX(0,MIN(1,(PeriodEnd-$C96+1)/(PeriodEnd-PeriodStart+1))),MAX(0,MIN(1,((YEAR(PeriodEnd)-YEAR($C96))*12+MONTH(PeriodEnd)-MONTH($C96)+1-IF(DAY($C96)&gt;MonthCutDay,1,0))/PeriodMonths))))))</f>
        <v/>
      </c>
      <c r="U96" s="47" t="str">
        <f aca="false">IF($P96="","",$S96*$T96)</f>
        <v/>
      </c>
      <c r="V96" s="49" t="str">
        <f aca="false">IF($P96="","",IF(ISNUMBER($E96),$E96,0)*$R96)</f>
        <v/>
      </c>
      <c r="W96" s="49" t="str">
        <f aca="false">IF($P96="","",IF(ISNUMBER($E96),$E96,0)*$S96)</f>
        <v/>
      </c>
      <c r="X96" s="49" t="str">
        <f aca="false">IF($P96="","",IF(ISNUMBER($E96),$E96,0)*$U96)</f>
        <v/>
      </c>
      <c r="Y96" s="49" t="str">
        <f aca="false">IF($P96="","",IF(AND(CapAtMax="Yes",$P96="Y"),MAX(0,MIN($X96,$K96-$E96)),$X96))</f>
        <v/>
      </c>
      <c r="Z96" s="41" t="str">
        <f aca="false">IF(OR($P96="",NOT(ISNUMBER($E96))),"",$E96+$Y96)</f>
        <v/>
      </c>
      <c r="AA96" s="42" t="str">
        <f aca="false">IF(AND(ISNUMBER(Z96),ISNUMBER(J96)),IF(J96&gt;0,Z96/J96,""),"")</f>
        <v/>
      </c>
      <c r="AB96" s="46" t="str">
        <f aca="false">IF($P96="","",TRIM(IF(AND($P96="Y",ISNUMBER(K96),ISNUMBER(Z96)),IF(Z96&gt;K96,"Above range max. ",""),"")&amp;IF(AND($P96="Y",ISNUMBER($X96),ISNUMBER($Y96)),IF($X96-$Y96&gt;0.005,"Capped at range max. ",""),"")&amp;IF(AND(AND(ISNUMBER($G96),$G96&gt;=0,$G96&lt;=1),$H96=""),"Override needs a reason. ","")&amp;IF(AND(AND(ISNUMBER($G96),$G96&gt;=0,$G96&lt;=1),$P96&lt;&gt;"Y"),"Override ignored. ","")&amp;IF(AND($G96&lt;&gt;"",NOT(AND(ISNUMBER($G96),$G96&gt;=0,$G96&lt;=1))),"Override not valid, ignored. ","")&amp;IF(AND($A96&lt;&gt;"",COUNTIF($A$5:$A$254,$A96)&gt;1),"Duplicate ID. ","")))</f>
        <v/>
      </c>
    </row>
    <row r="97" customFormat="false" ht="15" hidden="false" customHeight="false" outlineLevel="0" collapsed="false">
      <c r="A97" s="18"/>
      <c r="B97" s="38"/>
      <c r="C97" s="39"/>
      <c r="D97" s="38"/>
      <c r="E97" s="19"/>
      <c r="F97" s="38"/>
      <c r="G97" s="40"/>
      <c r="H97" s="18"/>
      <c r="I97" s="41" t="str">
        <f aca="false">IF(COUNTA($A97:$F97)=0,"",IF($B97="","",IFERROR(INDEX(Ranges!$B$5:$B$16,MATCH($B97,Ranges!$A$5:$A$16,0)),"")))</f>
        <v/>
      </c>
      <c r="J97" s="41" t="str">
        <f aca="false">IF(COUNTA($A97:$F97)=0,"",IF($B97="","",IFERROR(INDEX(Ranges!$C$5:$C$16,MATCH($B97,Ranges!$A$5:$A$16,0)),"")))</f>
        <v/>
      </c>
      <c r="K97" s="41" t="str">
        <f aca="false">IF(COUNTA($A97:$F97)=0,"",IF($B97="","",IFERROR(INDEX(Ranges!$D$5:$D$16,MATCH($B97,Ranges!$A$5:$A$16,0)),"")))</f>
        <v/>
      </c>
      <c r="L97" s="42" t="str">
        <f aca="false">IF(OR(NOT(ISNUMBER($E97)),NOT(ISNUMBER(J97))),"",IF(J97&gt;0,$E97/J97,""))</f>
        <v/>
      </c>
      <c r="M97" s="43" t="str">
        <f aca="false">IF(OR(NOT(ISNUMBER($E97)),NOT(ISNUMBER(I97)),NOT(ISNUMBER(K97))),"",IF(K97&gt;I97,($E97-I97)/(K97-I97),""))</f>
        <v/>
      </c>
      <c r="N97" s="42" t="str">
        <f aca="false">IF(Basis="Compa-ratio",L97,M97)</f>
        <v/>
      </c>
      <c r="O97" s="44" t="str">
        <f aca="false">IF(ISNUMBER(N97),IFERROR(MATCH(N97,Matrix!$C$9:$G$9,1),1),"")</f>
        <v/>
      </c>
      <c r="P97" s="45" t="str">
        <f aca="false">IF(COUNTA($A97:$F97)=0,"",IF(Q97="","Y","N"))</f>
        <v/>
      </c>
      <c r="Q97" s="46" t="str">
        <f aca="false">IF(COUNTA($A97:$F97)=0,"",IF($A97="","ID missing",IF(TRIM($F97)="Exclude","Excluded by plan status",IF(AND(TRIM($F97)&lt;&gt;"",TRIM($F97)&lt;&gt;"Include"),"Plan status not valid (use Include or Exclude)",IF(NOT(ISNUMBER($C97)),"Hire date missing or not a date",IF($C97&gt;Cutoff,"Hired after cutoff",IF(NOT(ISNUMBER($E97)),"Salary missing or not a number",IF($E97&lt;=0,"Salary missing or not a number",IF(OR(NOT(ISNUMBER(I97)),NOT(ISNUMBER(J97)),NOT(ISNUMBER(K97))),"Grade not found in Ranges",IF($D97="","Rating missing",IF($D97="NR","Not rated (NR)",IF(NOT(ISNUMBER(MATCH($D97,Matrix!$A$14:$A$18,0))),"Rating not valid (use 1 to 5 or NR)",IF(NOT(ISNUMBER(O97)),"Band not found (check range and limits)","")))))))))))))</f>
        <v/>
      </c>
      <c r="R97" s="47" t="str">
        <f aca="false">IF($P97="Y",INDEX(Matrix!$C$14:$G$18,MATCH($D97,Matrix!$A$14:$A$18,0),$O97),IF($P97="N",0,""))</f>
        <v/>
      </c>
      <c r="S97" s="47" t="str">
        <f aca="false">IF($P97="Y",IF(AND(ISNUMBER($G97),$G97&gt;=0,$G97&lt;=1),$G97,$R97),IF($P97="N",0,""))</f>
        <v/>
      </c>
      <c r="T97" s="48" t="str">
        <f aca="false">IF($P97&lt;&gt;"Y",IF($P97="N",0,""),IF(ProrateMethod="None",1,IF($C97&lt;=PeriodStart,1,IF(ProrateMethod="Daily",MAX(0,MIN(1,(PeriodEnd-$C97+1)/(PeriodEnd-PeriodStart+1))),MAX(0,MIN(1,((YEAR(PeriodEnd)-YEAR($C97))*12+MONTH(PeriodEnd)-MONTH($C97)+1-IF(DAY($C97)&gt;MonthCutDay,1,0))/PeriodMonths))))))</f>
        <v/>
      </c>
      <c r="U97" s="47" t="str">
        <f aca="false">IF($P97="","",$S97*$T97)</f>
        <v/>
      </c>
      <c r="V97" s="49" t="str">
        <f aca="false">IF($P97="","",IF(ISNUMBER($E97),$E97,0)*$R97)</f>
        <v/>
      </c>
      <c r="W97" s="49" t="str">
        <f aca="false">IF($P97="","",IF(ISNUMBER($E97),$E97,0)*$S97)</f>
        <v/>
      </c>
      <c r="X97" s="49" t="str">
        <f aca="false">IF($P97="","",IF(ISNUMBER($E97),$E97,0)*$U97)</f>
        <v/>
      </c>
      <c r="Y97" s="49" t="str">
        <f aca="false">IF($P97="","",IF(AND(CapAtMax="Yes",$P97="Y"),MAX(0,MIN($X97,$K97-$E97)),$X97))</f>
        <v/>
      </c>
      <c r="Z97" s="41" t="str">
        <f aca="false">IF(OR($P97="",NOT(ISNUMBER($E97))),"",$E97+$Y97)</f>
        <v/>
      </c>
      <c r="AA97" s="42" t="str">
        <f aca="false">IF(AND(ISNUMBER(Z97),ISNUMBER(J97)),IF(J97&gt;0,Z97/J97,""),"")</f>
        <v/>
      </c>
      <c r="AB97" s="46" t="str">
        <f aca="false">IF($P97="","",TRIM(IF(AND($P97="Y",ISNUMBER(K97),ISNUMBER(Z97)),IF(Z97&gt;K97,"Above range max. ",""),"")&amp;IF(AND($P97="Y",ISNUMBER($X97),ISNUMBER($Y97)),IF($X97-$Y97&gt;0.005,"Capped at range max. ",""),"")&amp;IF(AND(AND(ISNUMBER($G97),$G97&gt;=0,$G97&lt;=1),$H97=""),"Override needs a reason. ","")&amp;IF(AND(AND(ISNUMBER($G97),$G97&gt;=0,$G97&lt;=1),$P97&lt;&gt;"Y"),"Override ignored. ","")&amp;IF(AND($G97&lt;&gt;"",NOT(AND(ISNUMBER($G97),$G97&gt;=0,$G97&lt;=1))),"Override not valid, ignored. ","")&amp;IF(AND($A97&lt;&gt;"",COUNTIF($A$5:$A$254,$A97)&gt;1),"Duplicate ID. ","")))</f>
        <v/>
      </c>
    </row>
    <row r="98" customFormat="false" ht="15" hidden="false" customHeight="false" outlineLevel="0" collapsed="false">
      <c r="A98" s="18"/>
      <c r="B98" s="38"/>
      <c r="C98" s="39"/>
      <c r="D98" s="38"/>
      <c r="E98" s="19"/>
      <c r="F98" s="38"/>
      <c r="G98" s="40"/>
      <c r="H98" s="18"/>
      <c r="I98" s="41" t="str">
        <f aca="false">IF(COUNTA($A98:$F98)=0,"",IF($B98="","",IFERROR(INDEX(Ranges!$B$5:$B$16,MATCH($B98,Ranges!$A$5:$A$16,0)),"")))</f>
        <v/>
      </c>
      <c r="J98" s="41" t="str">
        <f aca="false">IF(COUNTA($A98:$F98)=0,"",IF($B98="","",IFERROR(INDEX(Ranges!$C$5:$C$16,MATCH($B98,Ranges!$A$5:$A$16,0)),"")))</f>
        <v/>
      </c>
      <c r="K98" s="41" t="str">
        <f aca="false">IF(COUNTA($A98:$F98)=0,"",IF($B98="","",IFERROR(INDEX(Ranges!$D$5:$D$16,MATCH($B98,Ranges!$A$5:$A$16,0)),"")))</f>
        <v/>
      </c>
      <c r="L98" s="42" t="str">
        <f aca="false">IF(OR(NOT(ISNUMBER($E98)),NOT(ISNUMBER(J98))),"",IF(J98&gt;0,$E98/J98,""))</f>
        <v/>
      </c>
      <c r="M98" s="43" t="str">
        <f aca="false">IF(OR(NOT(ISNUMBER($E98)),NOT(ISNUMBER(I98)),NOT(ISNUMBER(K98))),"",IF(K98&gt;I98,($E98-I98)/(K98-I98),""))</f>
        <v/>
      </c>
      <c r="N98" s="42" t="str">
        <f aca="false">IF(Basis="Compa-ratio",L98,M98)</f>
        <v/>
      </c>
      <c r="O98" s="44" t="str">
        <f aca="false">IF(ISNUMBER(N98),IFERROR(MATCH(N98,Matrix!$C$9:$G$9,1),1),"")</f>
        <v/>
      </c>
      <c r="P98" s="45" t="str">
        <f aca="false">IF(COUNTA($A98:$F98)=0,"",IF(Q98="","Y","N"))</f>
        <v/>
      </c>
      <c r="Q98" s="46" t="str">
        <f aca="false">IF(COUNTA($A98:$F98)=0,"",IF($A98="","ID missing",IF(TRIM($F98)="Exclude","Excluded by plan status",IF(AND(TRIM($F98)&lt;&gt;"",TRIM($F98)&lt;&gt;"Include"),"Plan status not valid (use Include or Exclude)",IF(NOT(ISNUMBER($C98)),"Hire date missing or not a date",IF($C98&gt;Cutoff,"Hired after cutoff",IF(NOT(ISNUMBER($E98)),"Salary missing or not a number",IF($E98&lt;=0,"Salary missing or not a number",IF(OR(NOT(ISNUMBER(I98)),NOT(ISNUMBER(J98)),NOT(ISNUMBER(K98))),"Grade not found in Ranges",IF($D98="","Rating missing",IF($D98="NR","Not rated (NR)",IF(NOT(ISNUMBER(MATCH($D98,Matrix!$A$14:$A$18,0))),"Rating not valid (use 1 to 5 or NR)",IF(NOT(ISNUMBER(O98)),"Band not found (check range and limits)","")))))))))))))</f>
        <v/>
      </c>
      <c r="R98" s="47" t="str">
        <f aca="false">IF($P98="Y",INDEX(Matrix!$C$14:$G$18,MATCH($D98,Matrix!$A$14:$A$18,0),$O98),IF($P98="N",0,""))</f>
        <v/>
      </c>
      <c r="S98" s="47" t="str">
        <f aca="false">IF($P98="Y",IF(AND(ISNUMBER($G98),$G98&gt;=0,$G98&lt;=1),$G98,$R98),IF($P98="N",0,""))</f>
        <v/>
      </c>
      <c r="T98" s="48" t="str">
        <f aca="false">IF($P98&lt;&gt;"Y",IF($P98="N",0,""),IF(ProrateMethod="None",1,IF($C98&lt;=PeriodStart,1,IF(ProrateMethod="Daily",MAX(0,MIN(1,(PeriodEnd-$C98+1)/(PeriodEnd-PeriodStart+1))),MAX(0,MIN(1,((YEAR(PeriodEnd)-YEAR($C98))*12+MONTH(PeriodEnd)-MONTH($C98)+1-IF(DAY($C98)&gt;MonthCutDay,1,0))/PeriodMonths))))))</f>
        <v/>
      </c>
      <c r="U98" s="47" t="str">
        <f aca="false">IF($P98="","",$S98*$T98)</f>
        <v/>
      </c>
      <c r="V98" s="49" t="str">
        <f aca="false">IF($P98="","",IF(ISNUMBER($E98),$E98,0)*$R98)</f>
        <v/>
      </c>
      <c r="W98" s="49" t="str">
        <f aca="false">IF($P98="","",IF(ISNUMBER($E98),$E98,0)*$S98)</f>
        <v/>
      </c>
      <c r="X98" s="49" t="str">
        <f aca="false">IF($P98="","",IF(ISNUMBER($E98),$E98,0)*$U98)</f>
        <v/>
      </c>
      <c r="Y98" s="49" t="str">
        <f aca="false">IF($P98="","",IF(AND(CapAtMax="Yes",$P98="Y"),MAX(0,MIN($X98,$K98-$E98)),$X98))</f>
        <v/>
      </c>
      <c r="Z98" s="41" t="str">
        <f aca="false">IF(OR($P98="",NOT(ISNUMBER($E98))),"",$E98+$Y98)</f>
        <v/>
      </c>
      <c r="AA98" s="42" t="str">
        <f aca="false">IF(AND(ISNUMBER(Z98),ISNUMBER(J98)),IF(J98&gt;0,Z98/J98,""),"")</f>
        <v/>
      </c>
      <c r="AB98" s="46" t="str">
        <f aca="false">IF($P98="","",TRIM(IF(AND($P98="Y",ISNUMBER(K98),ISNUMBER(Z98)),IF(Z98&gt;K98,"Above range max. ",""),"")&amp;IF(AND($P98="Y",ISNUMBER($X98),ISNUMBER($Y98)),IF($X98-$Y98&gt;0.005,"Capped at range max. ",""),"")&amp;IF(AND(AND(ISNUMBER($G98),$G98&gt;=0,$G98&lt;=1),$H98=""),"Override needs a reason. ","")&amp;IF(AND(AND(ISNUMBER($G98),$G98&gt;=0,$G98&lt;=1),$P98&lt;&gt;"Y"),"Override ignored. ","")&amp;IF(AND($G98&lt;&gt;"",NOT(AND(ISNUMBER($G98),$G98&gt;=0,$G98&lt;=1))),"Override not valid, ignored. ","")&amp;IF(AND($A98&lt;&gt;"",COUNTIF($A$5:$A$254,$A98)&gt;1),"Duplicate ID. ","")))</f>
        <v/>
      </c>
    </row>
    <row r="99" customFormat="false" ht="15" hidden="false" customHeight="false" outlineLevel="0" collapsed="false">
      <c r="A99" s="18"/>
      <c r="B99" s="38"/>
      <c r="C99" s="39"/>
      <c r="D99" s="38"/>
      <c r="E99" s="19"/>
      <c r="F99" s="38"/>
      <c r="G99" s="40"/>
      <c r="H99" s="18"/>
      <c r="I99" s="41" t="str">
        <f aca="false">IF(COUNTA($A99:$F99)=0,"",IF($B99="","",IFERROR(INDEX(Ranges!$B$5:$B$16,MATCH($B99,Ranges!$A$5:$A$16,0)),"")))</f>
        <v/>
      </c>
      <c r="J99" s="41" t="str">
        <f aca="false">IF(COUNTA($A99:$F99)=0,"",IF($B99="","",IFERROR(INDEX(Ranges!$C$5:$C$16,MATCH($B99,Ranges!$A$5:$A$16,0)),"")))</f>
        <v/>
      </c>
      <c r="K99" s="41" t="str">
        <f aca="false">IF(COUNTA($A99:$F99)=0,"",IF($B99="","",IFERROR(INDEX(Ranges!$D$5:$D$16,MATCH($B99,Ranges!$A$5:$A$16,0)),"")))</f>
        <v/>
      </c>
      <c r="L99" s="42" t="str">
        <f aca="false">IF(OR(NOT(ISNUMBER($E99)),NOT(ISNUMBER(J99))),"",IF(J99&gt;0,$E99/J99,""))</f>
        <v/>
      </c>
      <c r="M99" s="43" t="str">
        <f aca="false">IF(OR(NOT(ISNUMBER($E99)),NOT(ISNUMBER(I99)),NOT(ISNUMBER(K99))),"",IF(K99&gt;I99,($E99-I99)/(K99-I99),""))</f>
        <v/>
      </c>
      <c r="N99" s="42" t="str">
        <f aca="false">IF(Basis="Compa-ratio",L99,M99)</f>
        <v/>
      </c>
      <c r="O99" s="44" t="str">
        <f aca="false">IF(ISNUMBER(N99),IFERROR(MATCH(N99,Matrix!$C$9:$G$9,1),1),"")</f>
        <v/>
      </c>
      <c r="P99" s="45" t="str">
        <f aca="false">IF(COUNTA($A99:$F99)=0,"",IF(Q99="","Y","N"))</f>
        <v/>
      </c>
      <c r="Q99" s="46" t="str">
        <f aca="false">IF(COUNTA($A99:$F99)=0,"",IF($A99="","ID missing",IF(TRIM($F99)="Exclude","Excluded by plan status",IF(AND(TRIM($F99)&lt;&gt;"",TRIM($F99)&lt;&gt;"Include"),"Plan status not valid (use Include or Exclude)",IF(NOT(ISNUMBER($C99)),"Hire date missing or not a date",IF($C99&gt;Cutoff,"Hired after cutoff",IF(NOT(ISNUMBER($E99)),"Salary missing or not a number",IF($E99&lt;=0,"Salary missing or not a number",IF(OR(NOT(ISNUMBER(I99)),NOT(ISNUMBER(J99)),NOT(ISNUMBER(K99))),"Grade not found in Ranges",IF($D99="","Rating missing",IF($D99="NR","Not rated (NR)",IF(NOT(ISNUMBER(MATCH($D99,Matrix!$A$14:$A$18,0))),"Rating not valid (use 1 to 5 or NR)",IF(NOT(ISNUMBER(O99)),"Band not found (check range and limits)","")))))))))))))</f>
        <v/>
      </c>
      <c r="R99" s="47" t="str">
        <f aca="false">IF($P99="Y",INDEX(Matrix!$C$14:$G$18,MATCH($D99,Matrix!$A$14:$A$18,0),$O99),IF($P99="N",0,""))</f>
        <v/>
      </c>
      <c r="S99" s="47" t="str">
        <f aca="false">IF($P99="Y",IF(AND(ISNUMBER($G99),$G99&gt;=0,$G99&lt;=1),$G99,$R99),IF($P99="N",0,""))</f>
        <v/>
      </c>
      <c r="T99" s="48" t="str">
        <f aca="false">IF($P99&lt;&gt;"Y",IF($P99="N",0,""),IF(ProrateMethod="None",1,IF($C99&lt;=PeriodStart,1,IF(ProrateMethod="Daily",MAX(0,MIN(1,(PeriodEnd-$C99+1)/(PeriodEnd-PeriodStart+1))),MAX(0,MIN(1,((YEAR(PeriodEnd)-YEAR($C99))*12+MONTH(PeriodEnd)-MONTH($C99)+1-IF(DAY($C99)&gt;MonthCutDay,1,0))/PeriodMonths))))))</f>
        <v/>
      </c>
      <c r="U99" s="47" t="str">
        <f aca="false">IF($P99="","",$S99*$T99)</f>
        <v/>
      </c>
      <c r="V99" s="49" t="str">
        <f aca="false">IF($P99="","",IF(ISNUMBER($E99),$E99,0)*$R99)</f>
        <v/>
      </c>
      <c r="W99" s="49" t="str">
        <f aca="false">IF($P99="","",IF(ISNUMBER($E99),$E99,0)*$S99)</f>
        <v/>
      </c>
      <c r="X99" s="49" t="str">
        <f aca="false">IF($P99="","",IF(ISNUMBER($E99),$E99,0)*$U99)</f>
        <v/>
      </c>
      <c r="Y99" s="49" t="str">
        <f aca="false">IF($P99="","",IF(AND(CapAtMax="Yes",$P99="Y"),MAX(0,MIN($X99,$K99-$E99)),$X99))</f>
        <v/>
      </c>
      <c r="Z99" s="41" t="str">
        <f aca="false">IF(OR($P99="",NOT(ISNUMBER($E99))),"",$E99+$Y99)</f>
        <v/>
      </c>
      <c r="AA99" s="42" t="str">
        <f aca="false">IF(AND(ISNUMBER(Z99),ISNUMBER(J99)),IF(J99&gt;0,Z99/J99,""),"")</f>
        <v/>
      </c>
      <c r="AB99" s="46" t="str">
        <f aca="false">IF($P99="","",TRIM(IF(AND($P99="Y",ISNUMBER(K99),ISNUMBER(Z99)),IF(Z99&gt;K99,"Above range max. ",""),"")&amp;IF(AND($P99="Y",ISNUMBER($X99),ISNUMBER($Y99)),IF($X99-$Y99&gt;0.005,"Capped at range max. ",""),"")&amp;IF(AND(AND(ISNUMBER($G99),$G99&gt;=0,$G99&lt;=1),$H99=""),"Override needs a reason. ","")&amp;IF(AND(AND(ISNUMBER($G99),$G99&gt;=0,$G99&lt;=1),$P99&lt;&gt;"Y"),"Override ignored. ","")&amp;IF(AND($G99&lt;&gt;"",NOT(AND(ISNUMBER($G99),$G99&gt;=0,$G99&lt;=1))),"Override not valid, ignored. ","")&amp;IF(AND($A99&lt;&gt;"",COUNTIF($A$5:$A$254,$A99)&gt;1),"Duplicate ID. ","")))</f>
        <v/>
      </c>
    </row>
    <row r="100" customFormat="false" ht="15" hidden="false" customHeight="false" outlineLevel="0" collapsed="false">
      <c r="A100" s="18"/>
      <c r="B100" s="38"/>
      <c r="C100" s="39"/>
      <c r="D100" s="38"/>
      <c r="E100" s="19"/>
      <c r="F100" s="38"/>
      <c r="G100" s="40"/>
      <c r="H100" s="18"/>
      <c r="I100" s="41" t="str">
        <f aca="false">IF(COUNTA($A100:$F100)=0,"",IF($B100="","",IFERROR(INDEX(Ranges!$B$5:$B$16,MATCH($B100,Ranges!$A$5:$A$16,0)),"")))</f>
        <v/>
      </c>
      <c r="J100" s="41" t="str">
        <f aca="false">IF(COUNTA($A100:$F100)=0,"",IF($B100="","",IFERROR(INDEX(Ranges!$C$5:$C$16,MATCH($B100,Ranges!$A$5:$A$16,0)),"")))</f>
        <v/>
      </c>
      <c r="K100" s="41" t="str">
        <f aca="false">IF(COUNTA($A100:$F100)=0,"",IF($B100="","",IFERROR(INDEX(Ranges!$D$5:$D$16,MATCH($B100,Ranges!$A$5:$A$16,0)),"")))</f>
        <v/>
      </c>
      <c r="L100" s="42" t="str">
        <f aca="false">IF(OR(NOT(ISNUMBER($E100)),NOT(ISNUMBER(J100))),"",IF(J100&gt;0,$E100/J100,""))</f>
        <v/>
      </c>
      <c r="M100" s="43" t="str">
        <f aca="false">IF(OR(NOT(ISNUMBER($E100)),NOT(ISNUMBER(I100)),NOT(ISNUMBER(K100))),"",IF(K100&gt;I100,($E100-I100)/(K100-I100),""))</f>
        <v/>
      </c>
      <c r="N100" s="42" t="str">
        <f aca="false">IF(Basis="Compa-ratio",L100,M100)</f>
        <v/>
      </c>
      <c r="O100" s="44" t="str">
        <f aca="false">IF(ISNUMBER(N100),IFERROR(MATCH(N100,Matrix!$C$9:$G$9,1),1),"")</f>
        <v/>
      </c>
      <c r="P100" s="45" t="str">
        <f aca="false">IF(COUNTA($A100:$F100)=0,"",IF(Q100="","Y","N"))</f>
        <v/>
      </c>
      <c r="Q100" s="46" t="str">
        <f aca="false">IF(COUNTA($A100:$F100)=0,"",IF($A100="","ID missing",IF(TRIM($F100)="Exclude","Excluded by plan status",IF(AND(TRIM($F100)&lt;&gt;"",TRIM($F100)&lt;&gt;"Include"),"Plan status not valid (use Include or Exclude)",IF(NOT(ISNUMBER($C100)),"Hire date missing or not a date",IF($C100&gt;Cutoff,"Hired after cutoff",IF(NOT(ISNUMBER($E100)),"Salary missing or not a number",IF($E100&lt;=0,"Salary missing or not a number",IF(OR(NOT(ISNUMBER(I100)),NOT(ISNUMBER(J100)),NOT(ISNUMBER(K100))),"Grade not found in Ranges",IF($D100="","Rating missing",IF($D100="NR","Not rated (NR)",IF(NOT(ISNUMBER(MATCH($D100,Matrix!$A$14:$A$18,0))),"Rating not valid (use 1 to 5 or NR)",IF(NOT(ISNUMBER(O100)),"Band not found (check range and limits)","")))))))))))))</f>
        <v/>
      </c>
      <c r="R100" s="47" t="str">
        <f aca="false">IF($P100="Y",INDEX(Matrix!$C$14:$G$18,MATCH($D100,Matrix!$A$14:$A$18,0),$O100),IF($P100="N",0,""))</f>
        <v/>
      </c>
      <c r="S100" s="47" t="str">
        <f aca="false">IF($P100="Y",IF(AND(ISNUMBER($G100),$G100&gt;=0,$G100&lt;=1),$G100,$R100),IF($P100="N",0,""))</f>
        <v/>
      </c>
      <c r="T100" s="48" t="str">
        <f aca="false">IF($P100&lt;&gt;"Y",IF($P100="N",0,""),IF(ProrateMethod="None",1,IF($C100&lt;=PeriodStart,1,IF(ProrateMethod="Daily",MAX(0,MIN(1,(PeriodEnd-$C100+1)/(PeriodEnd-PeriodStart+1))),MAX(0,MIN(1,((YEAR(PeriodEnd)-YEAR($C100))*12+MONTH(PeriodEnd)-MONTH($C100)+1-IF(DAY($C100)&gt;MonthCutDay,1,0))/PeriodMonths))))))</f>
        <v/>
      </c>
      <c r="U100" s="47" t="str">
        <f aca="false">IF($P100="","",$S100*$T100)</f>
        <v/>
      </c>
      <c r="V100" s="49" t="str">
        <f aca="false">IF($P100="","",IF(ISNUMBER($E100),$E100,0)*$R100)</f>
        <v/>
      </c>
      <c r="W100" s="49" t="str">
        <f aca="false">IF($P100="","",IF(ISNUMBER($E100),$E100,0)*$S100)</f>
        <v/>
      </c>
      <c r="X100" s="49" t="str">
        <f aca="false">IF($P100="","",IF(ISNUMBER($E100),$E100,0)*$U100)</f>
        <v/>
      </c>
      <c r="Y100" s="49" t="str">
        <f aca="false">IF($P100="","",IF(AND(CapAtMax="Yes",$P100="Y"),MAX(0,MIN($X100,$K100-$E100)),$X100))</f>
        <v/>
      </c>
      <c r="Z100" s="41" t="str">
        <f aca="false">IF(OR($P100="",NOT(ISNUMBER($E100))),"",$E100+$Y100)</f>
        <v/>
      </c>
      <c r="AA100" s="42" t="str">
        <f aca="false">IF(AND(ISNUMBER(Z100),ISNUMBER(J100)),IF(J100&gt;0,Z100/J100,""),"")</f>
        <v/>
      </c>
      <c r="AB100" s="46" t="str">
        <f aca="false">IF($P100="","",TRIM(IF(AND($P100="Y",ISNUMBER(K100),ISNUMBER(Z100)),IF(Z100&gt;K100,"Above range max. ",""),"")&amp;IF(AND($P100="Y",ISNUMBER($X100),ISNUMBER($Y100)),IF($X100-$Y100&gt;0.005,"Capped at range max. ",""),"")&amp;IF(AND(AND(ISNUMBER($G100),$G100&gt;=0,$G100&lt;=1),$H100=""),"Override needs a reason. ","")&amp;IF(AND(AND(ISNUMBER($G100),$G100&gt;=0,$G100&lt;=1),$P100&lt;&gt;"Y"),"Override ignored. ","")&amp;IF(AND($G100&lt;&gt;"",NOT(AND(ISNUMBER($G100),$G100&gt;=0,$G100&lt;=1))),"Override not valid, ignored. ","")&amp;IF(AND($A100&lt;&gt;"",COUNTIF($A$5:$A$254,$A100)&gt;1),"Duplicate ID. ","")))</f>
        <v/>
      </c>
    </row>
    <row r="101" customFormat="false" ht="15" hidden="false" customHeight="false" outlineLevel="0" collapsed="false">
      <c r="A101" s="18"/>
      <c r="B101" s="38"/>
      <c r="C101" s="39"/>
      <c r="D101" s="38"/>
      <c r="E101" s="19"/>
      <c r="F101" s="38"/>
      <c r="G101" s="40"/>
      <c r="H101" s="18"/>
      <c r="I101" s="41" t="str">
        <f aca="false">IF(COUNTA($A101:$F101)=0,"",IF($B101="","",IFERROR(INDEX(Ranges!$B$5:$B$16,MATCH($B101,Ranges!$A$5:$A$16,0)),"")))</f>
        <v/>
      </c>
      <c r="J101" s="41" t="str">
        <f aca="false">IF(COUNTA($A101:$F101)=0,"",IF($B101="","",IFERROR(INDEX(Ranges!$C$5:$C$16,MATCH($B101,Ranges!$A$5:$A$16,0)),"")))</f>
        <v/>
      </c>
      <c r="K101" s="41" t="str">
        <f aca="false">IF(COUNTA($A101:$F101)=0,"",IF($B101="","",IFERROR(INDEX(Ranges!$D$5:$D$16,MATCH($B101,Ranges!$A$5:$A$16,0)),"")))</f>
        <v/>
      </c>
      <c r="L101" s="42" t="str">
        <f aca="false">IF(OR(NOT(ISNUMBER($E101)),NOT(ISNUMBER(J101))),"",IF(J101&gt;0,$E101/J101,""))</f>
        <v/>
      </c>
      <c r="M101" s="43" t="str">
        <f aca="false">IF(OR(NOT(ISNUMBER($E101)),NOT(ISNUMBER(I101)),NOT(ISNUMBER(K101))),"",IF(K101&gt;I101,($E101-I101)/(K101-I101),""))</f>
        <v/>
      </c>
      <c r="N101" s="42" t="str">
        <f aca="false">IF(Basis="Compa-ratio",L101,M101)</f>
        <v/>
      </c>
      <c r="O101" s="44" t="str">
        <f aca="false">IF(ISNUMBER(N101),IFERROR(MATCH(N101,Matrix!$C$9:$G$9,1),1),"")</f>
        <v/>
      </c>
      <c r="P101" s="45" t="str">
        <f aca="false">IF(COUNTA($A101:$F101)=0,"",IF(Q101="","Y","N"))</f>
        <v/>
      </c>
      <c r="Q101" s="46" t="str">
        <f aca="false">IF(COUNTA($A101:$F101)=0,"",IF($A101="","ID missing",IF(TRIM($F101)="Exclude","Excluded by plan status",IF(AND(TRIM($F101)&lt;&gt;"",TRIM($F101)&lt;&gt;"Include"),"Plan status not valid (use Include or Exclude)",IF(NOT(ISNUMBER($C101)),"Hire date missing or not a date",IF($C101&gt;Cutoff,"Hired after cutoff",IF(NOT(ISNUMBER($E101)),"Salary missing or not a number",IF($E101&lt;=0,"Salary missing or not a number",IF(OR(NOT(ISNUMBER(I101)),NOT(ISNUMBER(J101)),NOT(ISNUMBER(K101))),"Grade not found in Ranges",IF($D101="","Rating missing",IF($D101="NR","Not rated (NR)",IF(NOT(ISNUMBER(MATCH($D101,Matrix!$A$14:$A$18,0))),"Rating not valid (use 1 to 5 or NR)",IF(NOT(ISNUMBER(O101)),"Band not found (check range and limits)","")))))))))))))</f>
        <v/>
      </c>
      <c r="R101" s="47" t="str">
        <f aca="false">IF($P101="Y",INDEX(Matrix!$C$14:$G$18,MATCH($D101,Matrix!$A$14:$A$18,0),$O101),IF($P101="N",0,""))</f>
        <v/>
      </c>
      <c r="S101" s="47" t="str">
        <f aca="false">IF($P101="Y",IF(AND(ISNUMBER($G101),$G101&gt;=0,$G101&lt;=1),$G101,$R101),IF($P101="N",0,""))</f>
        <v/>
      </c>
      <c r="T101" s="48" t="str">
        <f aca="false">IF($P101&lt;&gt;"Y",IF($P101="N",0,""),IF(ProrateMethod="None",1,IF($C101&lt;=PeriodStart,1,IF(ProrateMethod="Daily",MAX(0,MIN(1,(PeriodEnd-$C101+1)/(PeriodEnd-PeriodStart+1))),MAX(0,MIN(1,((YEAR(PeriodEnd)-YEAR($C101))*12+MONTH(PeriodEnd)-MONTH($C101)+1-IF(DAY($C101)&gt;MonthCutDay,1,0))/PeriodMonths))))))</f>
        <v/>
      </c>
      <c r="U101" s="47" t="str">
        <f aca="false">IF($P101="","",$S101*$T101)</f>
        <v/>
      </c>
      <c r="V101" s="49" t="str">
        <f aca="false">IF($P101="","",IF(ISNUMBER($E101),$E101,0)*$R101)</f>
        <v/>
      </c>
      <c r="W101" s="49" t="str">
        <f aca="false">IF($P101="","",IF(ISNUMBER($E101),$E101,0)*$S101)</f>
        <v/>
      </c>
      <c r="X101" s="49" t="str">
        <f aca="false">IF($P101="","",IF(ISNUMBER($E101),$E101,0)*$U101)</f>
        <v/>
      </c>
      <c r="Y101" s="49" t="str">
        <f aca="false">IF($P101="","",IF(AND(CapAtMax="Yes",$P101="Y"),MAX(0,MIN($X101,$K101-$E101)),$X101))</f>
        <v/>
      </c>
      <c r="Z101" s="41" t="str">
        <f aca="false">IF(OR($P101="",NOT(ISNUMBER($E101))),"",$E101+$Y101)</f>
        <v/>
      </c>
      <c r="AA101" s="42" t="str">
        <f aca="false">IF(AND(ISNUMBER(Z101),ISNUMBER(J101)),IF(J101&gt;0,Z101/J101,""),"")</f>
        <v/>
      </c>
      <c r="AB101" s="46" t="str">
        <f aca="false">IF($P101="","",TRIM(IF(AND($P101="Y",ISNUMBER(K101),ISNUMBER(Z101)),IF(Z101&gt;K101,"Above range max. ",""),"")&amp;IF(AND($P101="Y",ISNUMBER($X101),ISNUMBER($Y101)),IF($X101-$Y101&gt;0.005,"Capped at range max. ",""),"")&amp;IF(AND(AND(ISNUMBER($G101),$G101&gt;=0,$G101&lt;=1),$H101=""),"Override needs a reason. ","")&amp;IF(AND(AND(ISNUMBER($G101),$G101&gt;=0,$G101&lt;=1),$P101&lt;&gt;"Y"),"Override ignored. ","")&amp;IF(AND($G101&lt;&gt;"",NOT(AND(ISNUMBER($G101),$G101&gt;=0,$G101&lt;=1))),"Override not valid, ignored. ","")&amp;IF(AND($A101&lt;&gt;"",COUNTIF($A$5:$A$254,$A101)&gt;1),"Duplicate ID. ","")))</f>
        <v/>
      </c>
    </row>
    <row r="102" customFormat="false" ht="15" hidden="false" customHeight="false" outlineLevel="0" collapsed="false">
      <c r="A102" s="18"/>
      <c r="B102" s="38"/>
      <c r="C102" s="39"/>
      <c r="D102" s="38"/>
      <c r="E102" s="19"/>
      <c r="F102" s="38"/>
      <c r="G102" s="40"/>
      <c r="H102" s="18"/>
      <c r="I102" s="41" t="str">
        <f aca="false">IF(COUNTA($A102:$F102)=0,"",IF($B102="","",IFERROR(INDEX(Ranges!$B$5:$B$16,MATCH($B102,Ranges!$A$5:$A$16,0)),"")))</f>
        <v/>
      </c>
      <c r="J102" s="41" t="str">
        <f aca="false">IF(COUNTA($A102:$F102)=0,"",IF($B102="","",IFERROR(INDEX(Ranges!$C$5:$C$16,MATCH($B102,Ranges!$A$5:$A$16,0)),"")))</f>
        <v/>
      </c>
      <c r="K102" s="41" t="str">
        <f aca="false">IF(COUNTA($A102:$F102)=0,"",IF($B102="","",IFERROR(INDEX(Ranges!$D$5:$D$16,MATCH($B102,Ranges!$A$5:$A$16,0)),"")))</f>
        <v/>
      </c>
      <c r="L102" s="42" t="str">
        <f aca="false">IF(OR(NOT(ISNUMBER($E102)),NOT(ISNUMBER(J102))),"",IF(J102&gt;0,$E102/J102,""))</f>
        <v/>
      </c>
      <c r="M102" s="43" t="str">
        <f aca="false">IF(OR(NOT(ISNUMBER($E102)),NOT(ISNUMBER(I102)),NOT(ISNUMBER(K102))),"",IF(K102&gt;I102,($E102-I102)/(K102-I102),""))</f>
        <v/>
      </c>
      <c r="N102" s="42" t="str">
        <f aca="false">IF(Basis="Compa-ratio",L102,M102)</f>
        <v/>
      </c>
      <c r="O102" s="44" t="str">
        <f aca="false">IF(ISNUMBER(N102),IFERROR(MATCH(N102,Matrix!$C$9:$G$9,1),1),"")</f>
        <v/>
      </c>
      <c r="P102" s="45" t="str">
        <f aca="false">IF(COUNTA($A102:$F102)=0,"",IF(Q102="","Y","N"))</f>
        <v/>
      </c>
      <c r="Q102" s="46" t="str">
        <f aca="false">IF(COUNTA($A102:$F102)=0,"",IF($A102="","ID missing",IF(TRIM($F102)="Exclude","Excluded by plan status",IF(AND(TRIM($F102)&lt;&gt;"",TRIM($F102)&lt;&gt;"Include"),"Plan status not valid (use Include or Exclude)",IF(NOT(ISNUMBER($C102)),"Hire date missing or not a date",IF($C102&gt;Cutoff,"Hired after cutoff",IF(NOT(ISNUMBER($E102)),"Salary missing or not a number",IF($E102&lt;=0,"Salary missing or not a number",IF(OR(NOT(ISNUMBER(I102)),NOT(ISNUMBER(J102)),NOT(ISNUMBER(K102))),"Grade not found in Ranges",IF($D102="","Rating missing",IF($D102="NR","Not rated (NR)",IF(NOT(ISNUMBER(MATCH($D102,Matrix!$A$14:$A$18,0))),"Rating not valid (use 1 to 5 or NR)",IF(NOT(ISNUMBER(O102)),"Band not found (check range and limits)","")))))))))))))</f>
        <v/>
      </c>
      <c r="R102" s="47" t="str">
        <f aca="false">IF($P102="Y",INDEX(Matrix!$C$14:$G$18,MATCH($D102,Matrix!$A$14:$A$18,0),$O102),IF($P102="N",0,""))</f>
        <v/>
      </c>
      <c r="S102" s="47" t="str">
        <f aca="false">IF($P102="Y",IF(AND(ISNUMBER($G102),$G102&gt;=0,$G102&lt;=1),$G102,$R102),IF($P102="N",0,""))</f>
        <v/>
      </c>
      <c r="T102" s="48" t="str">
        <f aca="false">IF($P102&lt;&gt;"Y",IF($P102="N",0,""),IF(ProrateMethod="None",1,IF($C102&lt;=PeriodStart,1,IF(ProrateMethod="Daily",MAX(0,MIN(1,(PeriodEnd-$C102+1)/(PeriodEnd-PeriodStart+1))),MAX(0,MIN(1,((YEAR(PeriodEnd)-YEAR($C102))*12+MONTH(PeriodEnd)-MONTH($C102)+1-IF(DAY($C102)&gt;MonthCutDay,1,0))/PeriodMonths))))))</f>
        <v/>
      </c>
      <c r="U102" s="47" t="str">
        <f aca="false">IF($P102="","",$S102*$T102)</f>
        <v/>
      </c>
      <c r="V102" s="49" t="str">
        <f aca="false">IF($P102="","",IF(ISNUMBER($E102),$E102,0)*$R102)</f>
        <v/>
      </c>
      <c r="W102" s="49" t="str">
        <f aca="false">IF($P102="","",IF(ISNUMBER($E102),$E102,0)*$S102)</f>
        <v/>
      </c>
      <c r="X102" s="49" t="str">
        <f aca="false">IF($P102="","",IF(ISNUMBER($E102),$E102,0)*$U102)</f>
        <v/>
      </c>
      <c r="Y102" s="49" t="str">
        <f aca="false">IF($P102="","",IF(AND(CapAtMax="Yes",$P102="Y"),MAX(0,MIN($X102,$K102-$E102)),$X102))</f>
        <v/>
      </c>
      <c r="Z102" s="41" t="str">
        <f aca="false">IF(OR($P102="",NOT(ISNUMBER($E102))),"",$E102+$Y102)</f>
        <v/>
      </c>
      <c r="AA102" s="42" t="str">
        <f aca="false">IF(AND(ISNUMBER(Z102),ISNUMBER(J102)),IF(J102&gt;0,Z102/J102,""),"")</f>
        <v/>
      </c>
      <c r="AB102" s="46" t="str">
        <f aca="false">IF($P102="","",TRIM(IF(AND($P102="Y",ISNUMBER(K102),ISNUMBER(Z102)),IF(Z102&gt;K102,"Above range max. ",""),"")&amp;IF(AND($P102="Y",ISNUMBER($X102),ISNUMBER($Y102)),IF($X102-$Y102&gt;0.005,"Capped at range max. ",""),"")&amp;IF(AND(AND(ISNUMBER($G102),$G102&gt;=0,$G102&lt;=1),$H102=""),"Override needs a reason. ","")&amp;IF(AND(AND(ISNUMBER($G102),$G102&gt;=0,$G102&lt;=1),$P102&lt;&gt;"Y"),"Override ignored. ","")&amp;IF(AND($G102&lt;&gt;"",NOT(AND(ISNUMBER($G102),$G102&gt;=0,$G102&lt;=1))),"Override not valid, ignored. ","")&amp;IF(AND($A102&lt;&gt;"",COUNTIF($A$5:$A$254,$A102)&gt;1),"Duplicate ID. ","")))</f>
        <v/>
      </c>
    </row>
    <row r="103" customFormat="false" ht="15" hidden="false" customHeight="false" outlineLevel="0" collapsed="false">
      <c r="A103" s="18"/>
      <c r="B103" s="38"/>
      <c r="C103" s="39"/>
      <c r="D103" s="38"/>
      <c r="E103" s="19"/>
      <c r="F103" s="38"/>
      <c r="G103" s="40"/>
      <c r="H103" s="18"/>
      <c r="I103" s="41" t="str">
        <f aca="false">IF(COUNTA($A103:$F103)=0,"",IF($B103="","",IFERROR(INDEX(Ranges!$B$5:$B$16,MATCH($B103,Ranges!$A$5:$A$16,0)),"")))</f>
        <v/>
      </c>
      <c r="J103" s="41" t="str">
        <f aca="false">IF(COUNTA($A103:$F103)=0,"",IF($B103="","",IFERROR(INDEX(Ranges!$C$5:$C$16,MATCH($B103,Ranges!$A$5:$A$16,0)),"")))</f>
        <v/>
      </c>
      <c r="K103" s="41" t="str">
        <f aca="false">IF(COUNTA($A103:$F103)=0,"",IF($B103="","",IFERROR(INDEX(Ranges!$D$5:$D$16,MATCH($B103,Ranges!$A$5:$A$16,0)),"")))</f>
        <v/>
      </c>
      <c r="L103" s="42" t="str">
        <f aca="false">IF(OR(NOT(ISNUMBER($E103)),NOT(ISNUMBER(J103))),"",IF(J103&gt;0,$E103/J103,""))</f>
        <v/>
      </c>
      <c r="M103" s="43" t="str">
        <f aca="false">IF(OR(NOT(ISNUMBER($E103)),NOT(ISNUMBER(I103)),NOT(ISNUMBER(K103))),"",IF(K103&gt;I103,($E103-I103)/(K103-I103),""))</f>
        <v/>
      </c>
      <c r="N103" s="42" t="str">
        <f aca="false">IF(Basis="Compa-ratio",L103,M103)</f>
        <v/>
      </c>
      <c r="O103" s="44" t="str">
        <f aca="false">IF(ISNUMBER(N103),IFERROR(MATCH(N103,Matrix!$C$9:$G$9,1),1),"")</f>
        <v/>
      </c>
      <c r="P103" s="45" t="str">
        <f aca="false">IF(COUNTA($A103:$F103)=0,"",IF(Q103="","Y","N"))</f>
        <v/>
      </c>
      <c r="Q103" s="46" t="str">
        <f aca="false">IF(COUNTA($A103:$F103)=0,"",IF($A103="","ID missing",IF(TRIM($F103)="Exclude","Excluded by plan status",IF(AND(TRIM($F103)&lt;&gt;"",TRIM($F103)&lt;&gt;"Include"),"Plan status not valid (use Include or Exclude)",IF(NOT(ISNUMBER($C103)),"Hire date missing or not a date",IF($C103&gt;Cutoff,"Hired after cutoff",IF(NOT(ISNUMBER($E103)),"Salary missing or not a number",IF($E103&lt;=0,"Salary missing or not a number",IF(OR(NOT(ISNUMBER(I103)),NOT(ISNUMBER(J103)),NOT(ISNUMBER(K103))),"Grade not found in Ranges",IF($D103="","Rating missing",IF($D103="NR","Not rated (NR)",IF(NOT(ISNUMBER(MATCH($D103,Matrix!$A$14:$A$18,0))),"Rating not valid (use 1 to 5 or NR)",IF(NOT(ISNUMBER(O103)),"Band not found (check range and limits)","")))))))))))))</f>
        <v/>
      </c>
      <c r="R103" s="47" t="str">
        <f aca="false">IF($P103="Y",INDEX(Matrix!$C$14:$G$18,MATCH($D103,Matrix!$A$14:$A$18,0),$O103),IF($P103="N",0,""))</f>
        <v/>
      </c>
      <c r="S103" s="47" t="str">
        <f aca="false">IF($P103="Y",IF(AND(ISNUMBER($G103),$G103&gt;=0,$G103&lt;=1),$G103,$R103),IF($P103="N",0,""))</f>
        <v/>
      </c>
      <c r="T103" s="48" t="str">
        <f aca="false">IF($P103&lt;&gt;"Y",IF($P103="N",0,""),IF(ProrateMethod="None",1,IF($C103&lt;=PeriodStart,1,IF(ProrateMethod="Daily",MAX(0,MIN(1,(PeriodEnd-$C103+1)/(PeriodEnd-PeriodStart+1))),MAX(0,MIN(1,((YEAR(PeriodEnd)-YEAR($C103))*12+MONTH(PeriodEnd)-MONTH($C103)+1-IF(DAY($C103)&gt;MonthCutDay,1,0))/PeriodMonths))))))</f>
        <v/>
      </c>
      <c r="U103" s="47" t="str">
        <f aca="false">IF($P103="","",$S103*$T103)</f>
        <v/>
      </c>
      <c r="V103" s="49" t="str">
        <f aca="false">IF($P103="","",IF(ISNUMBER($E103),$E103,0)*$R103)</f>
        <v/>
      </c>
      <c r="W103" s="49" t="str">
        <f aca="false">IF($P103="","",IF(ISNUMBER($E103),$E103,0)*$S103)</f>
        <v/>
      </c>
      <c r="X103" s="49" t="str">
        <f aca="false">IF($P103="","",IF(ISNUMBER($E103),$E103,0)*$U103)</f>
        <v/>
      </c>
      <c r="Y103" s="49" t="str">
        <f aca="false">IF($P103="","",IF(AND(CapAtMax="Yes",$P103="Y"),MAX(0,MIN($X103,$K103-$E103)),$X103))</f>
        <v/>
      </c>
      <c r="Z103" s="41" t="str">
        <f aca="false">IF(OR($P103="",NOT(ISNUMBER($E103))),"",$E103+$Y103)</f>
        <v/>
      </c>
      <c r="AA103" s="42" t="str">
        <f aca="false">IF(AND(ISNUMBER(Z103),ISNUMBER(J103)),IF(J103&gt;0,Z103/J103,""),"")</f>
        <v/>
      </c>
      <c r="AB103" s="46" t="str">
        <f aca="false">IF($P103="","",TRIM(IF(AND($P103="Y",ISNUMBER(K103),ISNUMBER(Z103)),IF(Z103&gt;K103,"Above range max. ",""),"")&amp;IF(AND($P103="Y",ISNUMBER($X103),ISNUMBER($Y103)),IF($X103-$Y103&gt;0.005,"Capped at range max. ",""),"")&amp;IF(AND(AND(ISNUMBER($G103),$G103&gt;=0,$G103&lt;=1),$H103=""),"Override needs a reason. ","")&amp;IF(AND(AND(ISNUMBER($G103),$G103&gt;=0,$G103&lt;=1),$P103&lt;&gt;"Y"),"Override ignored. ","")&amp;IF(AND($G103&lt;&gt;"",NOT(AND(ISNUMBER($G103),$G103&gt;=0,$G103&lt;=1))),"Override not valid, ignored. ","")&amp;IF(AND($A103&lt;&gt;"",COUNTIF($A$5:$A$254,$A103)&gt;1),"Duplicate ID. ","")))</f>
        <v/>
      </c>
    </row>
    <row r="104" customFormat="false" ht="15" hidden="false" customHeight="false" outlineLevel="0" collapsed="false">
      <c r="A104" s="18"/>
      <c r="B104" s="38"/>
      <c r="C104" s="39"/>
      <c r="D104" s="38"/>
      <c r="E104" s="19"/>
      <c r="F104" s="38"/>
      <c r="G104" s="40"/>
      <c r="H104" s="18"/>
      <c r="I104" s="41" t="str">
        <f aca="false">IF(COUNTA($A104:$F104)=0,"",IF($B104="","",IFERROR(INDEX(Ranges!$B$5:$B$16,MATCH($B104,Ranges!$A$5:$A$16,0)),"")))</f>
        <v/>
      </c>
      <c r="J104" s="41" t="str">
        <f aca="false">IF(COUNTA($A104:$F104)=0,"",IF($B104="","",IFERROR(INDEX(Ranges!$C$5:$C$16,MATCH($B104,Ranges!$A$5:$A$16,0)),"")))</f>
        <v/>
      </c>
      <c r="K104" s="41" t="str">
        <f aca="false">IF(COUNTA($A104:$F104)=0,"",IF($B104="","",IFERROR(INDEX(Ranges!$D$5:$D$16,MATCH($B104,Ranges!$A$5:$A$16,0)),"")))</f>
        <v/>
      </c>
      <c r="L104" s="42" t="str">
        <f aca="false">IF(OR(NOT(ISNUMBER($E104)),NOT(ISNUMBER(J104))),"",IF(J104&gt;0,$E104/J104,""))</f>
        <v/>
      </c>
      <c r="M104" s="43" t="str">
        <f aca="false">IF(OR(NOT(ISNUMBER($E104)),NOT(ISNUMBER(I104)),NOT(ISNUMBER(K104))),"",IF(K104&gt;I104,($E104-I104)/(K104-I104),""))</f>
        <v/>
      </c>
      <c r="N104" s="42" t="str">
        <f aca="false">IF(Basis="Compa-ratio",L104,M104)</f>
        <v/>
      </c>
      <c r="O104" s="44" t="str">
        <f aca="false">IF(ISNUMBER(N104),IFERROR(MATCH(N104,Matrix!$C$9:$G$9,1),1),"")</f>
        <v/>
      </c>
      <c r="P104" s="45" t="str">
        <f aca="false">IF(COUNTA($A104:$F104)=0,"",IF(Q104="","Y","N"))</f>
        <v/>
      </c>
      <c r="Q104" s="46" t="str">
        <f aca="false">IF(COUNTA($A104:$F104)=0,"",IF($A104="","ID missing",IF(TRIM($F104)="Exclude","Excluded by plan status",IF(AND(TRIM($F104)&lt;&gt;"",TRIM($F104)&lt;&gt;"Include"),"Plan status not valid (use Include or Exclude)",IF(NOT(ISNUMBER($C104)),"Hire date missing or not a date",IF($C104&gt;Cutoff,"Hired after cutoff",IF(NOT(ISNUMBER($E104)),"Salary missing or not a number",IF($E104&lt;=0,"Salary missing or not a number",IF(OR(NOT(ISNUMBER(I104)),NOT(ISNUMBER(J104)),NOT(ISNUMBER(K104))),"Grade not found in Ranges",IF($D104="","Rating missing",IF($D104="NR","Not rated (NR)",IF(NOT(ISNUMBER(MATCH($D104,Matrix!$A$14:$A$18,0))),"Rating not valid (use 1 to 5 or NR)",IF(NOT(ISNUMBER(O104)),"Band not found (check range and limits)","")))))))))))))</f>
        <v/>
      </c>
      <c r="R104" s="47" t="str">
        <f aca="false">IF($P104="Y",INDEX(Matrix!$C$14:$G$18,MATCH($D104,Matrix!$A$14:$A$18,0),$O104),IF($P104="N",0,""))</f>
        <v/>
      </c>
      <c r="S104" s="47" t="str">
        <f aca="false">IF($P104="Y",IF(AND(ISNUMBER($G104),$G104&gt;=0,$G104&lt;=1),$G104,$R104),IF($P104="N",0,""))</f>
        <v/>
      </c>
      <c r="T104" s="48" t="str">
        <f aca="false">IF($P104&lt;&gt;"Y",IF($P104="N",0,""),IF(ProrateMethod="None",1,IF($C104&lt;=PeriodStart,1,IF(ProrateMethod="Daily",MAX(0,MIN(1,(PeriodEnd-$C104+1)/(PeriodEnd-PeriodStart+1))),MAX(0,MIN(1,((YEAR(PeriodEnd)-YEAR($C104))*12+MONTH(PeriodEnd)-MONTH($C104)+1-IF(DAY($C104)&gt;MonthCutDay,1,0))/PeriodMonths))))))</f>
        <v/>
      </c>
      <c r="U104" s="47" t="str">
        <f aca="false">IF($P104="","",$S104*$T104)</f>
        <v/>
      </c>
      <c r="V104" s="49" t="str">
        <f aca="false">IF($P104="","",IF(ISNUMBER($E104),$E104,0)*$R104)</f>
        <v/>
      </c>
      <c r="W104" s="49" t="str">
        <f aca="false">IF($P104="","",IF(ISNUMBER($E104),$E104,0)*$S104)</f>
        <v/>
      </c>
      <c r="X104" s="49" t="str">
        <f aca="false">IF($P104="","",IF(ISNUMBER($E104),$E104,0)*$U104)</f>
        <v/>
      </c>
      <c r="Y104" s="49" t="str">
        <f aca="false">IF($P104="","",IF(AND(CapAtMax="Yes",$P104="Y"),MAX(0,MIN($X104,$K104-$E104)),$X104))</f>
        <v/>
      </c>
      <c r="Z104" s="41" t="str">
        <f aca="false">IF(OR($P104="",NOT(ISNUMBER($E104))),"",$E104+$Y104)</f>
        <v/>
      </c>
      <c r="AA104" s="42" t="str">
        <f aca="false">IF(AND(ISNUMBER(Z104),ISNUMBER(J104)),IF(J104&gt;0,Z104/J104,""),"")</f>
        <v/>
      </c>
      <c r="AB104" s="46" t="str">
        <f aca="false">IF($P104="","",TRIM(IF(AND($P104="Y",ISNUMBER(K104),ISNUMBER(Z104)),IF(Z104&gt;K104,"Above range max. ",""),"")&amp;IF(AND($P104="Y",ISNUMBER($X104),ISNUMBER($Y104)),IF($X104-$Y104&gt;0.005,"Capped at range max. ",""),"")&amp;IF(AND(AND(ISNUMBER($G104),$G104&gt;=0,$G104&lt;=1),$H104=""),"Override needs a reason. ","")&amp;IF(AND(AND(ISNUMBER($G104),$G104&gt;=0,$G104&lt;=1),$P104&lt;&gt;"Y"),"Override ignored. ","")&amp;IF(AND($G104&lt;&gt;"",NOT(AND(ISNUMBER($G104),$G104&gt;=0,$G104&lt;=1))),"Override not valid, ignored. ","")&amp;IF(AND($A104&lt;&gt;"",COUNTIF($A$5:$A$254,$A104)&gt;1),"Duplicate ID. ","")))</f>
        <v/>
      </c>
    </row>
    <row r="105" customFormat="false" ht="15" hidden="false" customHeight="false" outlineLevel="0" collapsed="false">
      <c r="A105" s="18"/>
      <c r="B105" s="38"/>
      <c r="C105" s="39"/>
      <c r="D105" s="38"/>
      <c r="E105" s="19"/>
      <c r="F105" s="38"/>
      <c r="G105" s="40"/>
      <c r="H105" s="18"/>
      <c r="I105" s="41" t="str">
        <f aca="false">IF(COUNTA($A105:$F105)=0,"",IF($B105="","",IFERROR(INDEX(Ranges!$B$5:$B$16,MATCH($B105,Ranges!$A$5:$A$16,0)),"")))</f>
        <v/>
      </c>
      <c r="J105" s="41" t="str">
        <f aca="false">IF(COUNTA($A105:$F105)=0,"",IF($B105="","",IFERROR(INDEX(Ranges!$C$5:$C$16,MATCH($B105,Ranges!$A$5:$A$16,0)),"")))</f>
        <v/>
      </c>
      <c r="K105" s="41" t="str">
        <f aca="false">IF(COUNTA($A105:$F105)=0,"",IF($B105="","",IFERROR(INDEX(Ranges!$D$5:$D$16,MATCH($B105,Ranges!$A$5:$A$16,0)),"")))</f>
        <v/>
      </c>
      <c r="L105" s="42" t="str">
        <f aca="false">IF(OR(NOT(ISNUMBER($E105)),NOT(ISNUMBER(J105))),"",IF(J105&gt;0,$E105/J105,""))</f>
        <v/>
      </c>
      <c r="M105" s="43" t="str">
        <f aca="false">IF(OR(NOT(ISNUMBER($E105)),NOT(ISNUMBER(I105)),NOT(ISNUMBER(K105))),"",IF(K105&gt;I105,($E105-I105)/(K105-I105),""))</f>
        <v/>
      </c>
      <c r="N105" s="42" t="str">
        <f aca="false">IF(Basis="Compa-ratio",L105,M105)</f>
        <v/>
      </c>
      <c r="O105" s="44" t="str">
        <f aca="false">IF(ISNUMBER(N105),IFERROR(MATCH(N105,Matrix!$C$9:$G$9,1),1),"")</f>
        <v/>
      </c>
      <c r="P105" s="45" t="str">
        <f aca="false">IF(COUNTA($A105:$F105)=0,"",IF(Q105="","Y","N"))</f>
        <v/>
      </c>
      <c r="Q105" s="46" t="str">
        <f aca="false">IF(COUNTA($A105:$F105)=0,"",IF($A105="","ID missing",IF(TRIM($F105)="Exclude","Excluded by plan status",IF(AND(TRIM($F105)&lt;&gt;"",TRIM($F105)&lt;&gt;"Include"),"Plan status not valid (use Include or Exclude)",IF(NOT(ISNUMBER($C105)),"Hire date missing or not a date",IF($C105&gt;Cutoff,"Hired after cutoff",IF(NOT(ISNUMBER($E105)),"Salary missing or not a number",IF($E105&lt;=0,"Salary missing or not a number",IF(OR(NOT(ISNUMBER(I105)),NOT(ISNUMBER(J105)),NOT(ISNUMBER(K105))),"Grade not found in Ranges",IF($D105="","Rating missing",IF($D105="NR","Not rated (NR)",IF(NOT(ISNUMBER(MATCH($D105,Matrix!$A$14:$A$18,0))),"Rating not valid (use 1 to 5 or NR)",IF(NOT(ISNUMBER(O105)),"Band not found (check range and limits)","")))))))))))))</f>
        <v/>
      </c>
      <c r="R105" s="47" t="str">
        <f aca="false">IF($P105="Y",INDEX(Matrix!$C$14:$G$18,MATCH($D105,Matrix!$A$14:$A$18,0),$O105),IF($P105="N",0,""))</f>
        <v/>
      </c>
      <c r="S105" s="47" t="str">
        <f aca="false">IF($P105="Y",IF(AND(ISNUMBER($G105),$G105&gt;=0,$G105&lt;=1),$G105,$R105),IF($P105="N",0,""))</f>
        <v/>
      </c>
      <c r="T105" s="48" t="str">
        <f aca="false">IF($P105&lt;&gt;"Y",IF($P105="N",0,""),IF(ProrateMethod="None",1,IF($C105&lt;=PeriodStart,1,IF(ProrateMethod="Daily",MAX(0,MIN(1,(PeriodEnd-$C105+1)/(PeriodEnd-PeriodStart+1))),MAX(0,MIN(1,((YEAR(PeriodEnd)-YEAR($C105))*12+MONTH(PeriodEnd)-MONTH($C105)+1-IF(DAY($C105)&gt;MonthCutDay,1,0))/PeriodMonths))))))</f>
        <v/>
      </c>
      <c r="U105" s="47" t="str">
        <f aca="false">IF($P105="","",$S105*$T105)</f>
        <v/>
      </c>
      <c r="V105" s="49" t="str">
        <f aca="false">IF($P105="","",IF(ISNUMBER($E105),$E105,0)*$R105)</f>
        <v/>
      </c>
      <c r="W105" s="49" t="str">
        <f aca="false">IF($P105="","",IF(ISNUMBER($E105),$E105,0)*$S105)</f>
        <v/>
      </c>
      <c r="X105" s="49" t="str">
        <f aca="false">IF($P105="","",IF(ISNUMBER($E105),$E105,0)*$U105)</f>
        <v/>
      </c>
      <c r="Y105" s="49" t="str">
        <f aca="false">IF($P105="","",IF(AND(CapAtMax="Yes",$P105="Y"),MAX(0,MIN($X105,$K105-$E105)),$X105))</f>
        <v/>
      </c>
      <c r="Z105" s="41" t="str">
        <f aca="false">IF(OR($P105="",NOT(ISNUMBER($E105))),"",$E105+$Y105)</f>
        <v/>
      </c>
      <c r="AA105" s="42" t="str">
        <f aca="false">IF(AND(ISNUMBER(Z105),ISNUMBER(J105)),IF(J105&gt;0,Z105/J105,""),"")</f>
        <v/>
      </c>
      <c r="AB105" s="46" t="str">
        <f aca="false">IF($P105="","",TRIM(IF(AND($P105="Y",ISNUMBER(K105),ISNUMBER(Z105)),IF(Z105&gt;K105,"Above range max. ",""),"")&amp;IF(AND($P105="Y",ISNUMBER($X105),ISNUMBER($Y105)),IF($X105-$Y105&gt;0.005,"Capped at range max. ",""),"")&amp;IF(AND(AND(ISNUMBER($G105),$G105&gt;=0,$G105&lt;=1),$H105=""),"Override needs a reason. ","")&amp;IF(AND(AND(ISNUMBER($G105),$G105&gt;=0,$G105&lt;=1),$P105&lt;&gt;"Y"),"Override ignored. ","")&amp;IF(AND($G105&lt;&gt;"",NOT(AND(ISNUMBER($G105),$G105&gt;=0,$G105&lt;=1))),"Override not valid, ignored. ","")&amp;IF(AND($A105&lt;&gt;"",COUNTIF($A$5:$A$254,$A105)&gt;1),"Duplicate ID. ","")))</f>
        <v/>
      </c>
    </row>
    <row r="106" customFormat="false" ht="15" hidden="false" customHeight="false" outlineLevel="0" collapsed="false">
      <c r="A106" s="18"/>
      <c r="B106" s="38"/>
      <c r="C106" s="39"/>
      <c r="D106" s="38"/>
      <c r="E106" s="19"/>
      <c r="F106" s="38"/>
      <c r="G106" s="40"/>
      <c r="H106" s="18"/>
      <c r="I106" s="41" t="str">
        <f aca="false">IF(COUNTA($A106:$F106)=0,"",IF($B106="","",IFERROR(INDEX(Ranges!$B$5:$B$16,MATCH($B106,Ranges!$A$5:$A$16,0)),"")))</f>
        <v/>
      </c>
      <c r="J106" s="41" t="str">
        <f aca="false">IF(COUNTA($A106:$F106)=0,"",IF($B106="","",IFERROR(INDEX(Ranges!$C$5:$C$16,MATCH($B106,Ranges!$A$5:$A$16,0)),"")))</f>
        <v/>
      </c>
      <c r="K106" s="41" t="str">
        <f aca="false">IF(COUNTA($A106:$F106)=0,"",IF($B106="","",IFERROR(INDEX(Ranges!$D$5:$D$16,MATCH($B106,Ranges!$A$5:$A$16,0)),"")))</f>
        <v/>
      </c>
      <c r="L106" s="42" t="str">
        <f aca="false">IF(OR(NOT(ISNUMBER($E106)),NOT(ISNUMBER(J106))),"",IF(J106&gt;0,$E106/J106,""))</f>
        <v/>
      </c>
      <c r="M106" s="43" t="str">
        <f aca="false">IF(OR(NOT(ISNUMBER($E106)),NOT(ISNUMBER(I106)),NOT(ISNUMBER(K106))),"",IF(K106&gt;I106,($E106-I106)/(K106-I106),""))</f>
        <v/>
      </c>
      <c r="N106" s="42" t="str">
        <f aca="false">IF(Basis="Compa-ratio",L106,M106)</f>
        <v/>
      </c>
      <c r="O106" s="44" t="str">
        <f aca="false">IF(ISNUMBER(N106),IFERROR(MATCH(N106,Matrix!$C$9:$G$9,1),1),"")</f>
        <v/>
      </c>
      <c r="P106" s="45" t="str">
        <f aca="false">IF(COUNTA($A106:$F106)=0,"",IF(Q106="","Y","N"))</f>
        <v/>
      </c>
      <c r="Q106" s="46" t="str">
        <f aca="false">IF(COUNTA($A106:$F106)=0,"",IF($A106="","ID missing",IF(TRIM($F106)="Exclude","Excluded by plan status",IF(AND(TRIM($F106)&lt;&gt;"",TRIM($F106)&lt;&gt;"Include"),"Plan status not valid (use Include or Exclude)",IF(NOT(ISNUMBER($C106)),"Hire date missing or not a date",IF($C106&gt;Cutoff,"Hired after cutoff",IF(NOT(ISNUMBER($E106)),"Salary missing or not a number",IF($E106&lt;=0,"Salary missing or not a number",IF(OR(NOT(ISNUMBER(I106)),NOT(ISNUMBER(J106)),NOT(ISNUMBER(K106))),"Grade not found in Ranges",IF($D106="","Rating missing",IF($D106="NR","Not rated (NR)",IF(NOT(ISNUMBER(MATCH($D106,Matrix!$A$14:$A$18,0))),"Rating not valid (use 1 to 5 or NR)",IF(NOT(ISNUMBER(O106)),"Band not found (check range and limits)","")))))))))))))</f>
        <v/>
      </c>
      <c r="R106" s="47" t="str">
        <f aca="false">IF($P106="Y",INDEX(Matrix!$C$14:$G$18,MATCH($D106,Matrix!$A$14:$A$18,0),$O106),IF($P106="N",0,""))</f>
        <v/>
      </c>
      <c r="S106" s="47" t="str">
        <f aca="false">IF($P106="Y",IF(AND(ISNUMBER($G106),$G106&gt;=0,$G106&lt;=1),$G106,$R106),IF($P106="N",0,""))</f>
        <v/>
      </c>
      <c r="T106" s="48" t="str">
        <f aca="false">IF($P106&lt;&gt;"Y",IF($P106="N",0,""),IF(ProrateMethod="None",1,IF($C106&lt;=PeriodStart,1,IF(ProrateMethod="Daily",MAX(0,MIN(1,(PeriodEnd-$C106+1)/(PeriodEnd-PeriodStart+1))),MAX(0,MIN(1,((YEAR(PeriodEnd)-YEAR($C106))*12+MONTH(PeriodEnd)-MONTH($C106)+1-IF(DAY($C106)&gt;MonthCutDay,1,0))/PeriodMonths))))))</f>
        <v/>
      </c>
      <c r="U106" s="47" t="str">
        <f aca="false">IF($P106="","",$S106*$T106)</f>
        <v/>
      </c>
      <c r="V106" s="49" t="str">
        <f aca="false">IF($P106="","",IF(ISNUMBER($E106),$E106,0)*$R106)</f>
        <v/>
      </c>
      <c r="W106" s="49" t="str">
        <f aca="false">IF($P106="","",IF(ISNUMBER($E106),$E106,0)*$S106)</f>
        <v/>
      </c>
      <c r="X106" s="49" t="str">
        <f aca="false">IF($P106="","",IF(ISNUMBER($E106),$E106,0)*$U106)</f>
        <v/>
      </c>
      <c r="Y106" s="49" t="str">
        <f aca="false">IF($P106="","",IF(AND(CapAtMax="Yes",$P106="Y"),MAX(0,MIN($X106,$K106-$E106)),$X106))</f>
        <v/>
      </c>
      <c r="Z106" s="41" t="str">
        <f aca="false">IF(OR($P106="",NOT(ISNUMBER($E106))),"",$E106+$Y106)</f>
        <v/>
      </c>
      <c r="AA106" s="42" t="str">
        <f aca="false">IF(AND(ISNUMBER(Z106),ISNUMBER(J106)),IF(J106&gt;0,Z106/J106,""),"")</f>
        <v/>
      </c>
      <c r="AB106" s="46" t="str">
        <f aca="false">IF($P106="","",TRIM(IF(AND($P106="Y",ISNUMBER(K106),ISNUMBER(Z106)),IF(Z106&gt;K106,"Above range max. ",""),"")&amp;IF(AND($P106="Y",ISNUMBER($X106),ISNUMBER($Y106)),IF($X106-$Y106&gt;0.005,"Capped at range max. ",""),"")&amp;IF(AND(AND(ISNUMBER($G106),$G106&gt;=0,$G106&lt;=1),$H106=""),"Override needs a reason. ","")&amp;IF(AND(AND(ISNUMBER($G106),$G106&gt;=0,$G106&lt;=1),$P106&lt;&gt;"Y"),"Override ignored. ","")&amp;IF(AND($G106&lt;&gt;"",NOT(AND(ISNUMBER($G106),$G106&gt;=0,$G106&lt;=1))),"Override not valid, ignored. ","")&amp;IF(AND($A106&lt;&gt;"",COUNTIF($A$5:$A$254,$A106)&gt;1),"Duplicate ID. ","")))</f>
        <v/>
      </c>
    </row>
    <row r="107" customFormat="false" ht="15" hidden="false" customHeight="false" outlineLevel="0" collapsed="false">
      <c r="A107" s="18"/>
      <c r="B107" s="38"/>
      <c r="C107" s="39"/>
      <c r="D107" s="38"/>
      <c r="E107" s="19"/>
      <c r="F107" s="38"/>
      <c r="G107" s="40"/>
      <c r="H107" s="18"/>
      <c r="I107" s="41" t="str">
        <f aca="false">IF(COUNTA($A107:$F107)=0,"",IF($B107="","",IFERROR(INDEX(Ranges!$B$5:$B$16,MATCH($B107,Ranges!$A$5:$A$16,0)),"")))</f>
        <v/>
      </c>
      <c r="J107" s="41" t="str">
        <f aca="false">IF(COUNTA($A107:$F107)=0,"",IF($B107="","",IFERROR(INDEX(Ranges!$C$5:$C$16,MATCH($B107,Ranges!$A$5:$A$16,0)),"")))</f>
        <v/>
      </c>
      <c r="K107" s="41" t="str">
        <f aca="false">IF(COUNTA($A107:$F107)=0,"",IF($B107="","",IFERROR(INDEX(Ranges!$D$5:$D$16,MATCH($B107,Ranges!$A$5:$A$16,0)),"")))</f>
        <v/>
      </c>
      <c r="L107" s="42" t="str">
        <f aca="false">IF(OR(NOT(ISNUMBER($E107)),NOT(ISNUMBER(J107))),"",IF(J107&gt;0,$E107/J107,""))</f>
        <v/>
      </c>
      <c r="M107" s="43" t="str">
        <f aca="false">IF(OR(NOT(ISNUMBER($E107)),NOT(ISNUMBER(I107)),NOT(ISNUMBER(K107))),"",IF(K107&gt;I107,($E107-I107)/(K107-I107),""))</f>
        <v/>
      </c>
      <c r="N107" s="42" t="str">
        <f aca="false">IF(Basis="Compa-ratio",L107,M107)</f>
        <v/>
      </c>
      <c r="O107" s="44" t="str">
        <f aca="false">IF(ISNUMBER(N107),IFERROR(MATCH(N107,Matrix!$C$9:$G$9,1),1),"")</f>
        <v/>
      </c>
      <c r="P107" s="45" t="str">
        <f aca="false">IF(COUNTA($A107:$F107)=0,"",IF(Q107="","Y","N"))</f>
        <v/>
      </c>
      <c r="Q107" s="46" t="str">
        <f aca="false">IF(COUNTA($A107:$F107)=0,"",IF($A107="","ID missing",IF(TRIM($F107)="Exclude","Excluded by plan status",IF(AND(TRIM($F107)&lt;&gt;"",TRIM($F107)&lt;&gt;"Include"),"Plan status not valid (use Include or Exclude)",IF(NOT(ISNUMBER($C107)),"Hire date missing or not a date",IF($C107&gt;Cutoff,"Hired after cutoff",IF(NOT(ISNUMBER($E107)),"Salary missing or not a number",IF($E107&lt;=0,"Salary missing or not a number",IF(OR(NOT(ISNUMBER(I107)),NOT(ISNUMBER(J107)),NOT(ISNUMBER(K107))),"Grade not found in Ranges",IF($D107="","Rating missing",IF($D107="NR","Not rated (NR)",IF(NOT(ISNUMBER(MATCH($D107,Matrix!$A$14:$A$18,0))),"Rating not valid (use 1 to 5 or NR)",IF(NOT(ISNUMBER(O107)),"Band not found (check range and limits)","")))))))))))))</f>
        <v/>
      </c>
      <c r="R107" s="47" t="str">
        <f aca="false">IF($P107="Y",INDEX(Matrix!$C$14:$G$18,MATCH($D107,Matrix!$A$14:$A$18,0),$O107),IF($P107="N",0,""))</f>
        <v/>
      </c>
      <c r="S107" s="47" t="str">
        <f aca="false">IF($P107="Y",IF(AND(ISNUMBER($G107),$G107&gt;=0,$G107&lt;=1),$G107,$R107),IF($P107="N",0,""))</f>
        <v/>
      </c>
      <c r="T107" s="48" t="str">
        <f aca="false">IF($P107&lt;&gt;"Y",IF($P107="N",0,""),IF(ProrateMethod="None",1,IF($C107&lt;=PeriodStart,1,IF(ProrateMethod="Daily",MAX(0,MIN(1,(PeriodEnd-$C107+1)/(PeriodEnd-PeriodStart+1))),MAX(0,MIN(1,((YEAR(PeriodEnd)-YEAR($C107))*12+MONTH(PeriodEnd)-MONTH($C107)+1-IF(DAY($C107)&gt;MonthCutDay,1,0))/PeriodMonths))))))</f>
        <v/>
      </c>
      <c r="U107" s="47" t="str">
        <f aca="false">IF($P107="","",$S107*$T107)</f>
        <v/>
      </c>
      <c r="V107" s="49" t="str">
        <f aca="false">IF($P107="","",IF(ISNUMBER($E107),$E107,0)*$R107)</f>
        <v/>
      </c>
      <c r="W107" s="49" t="str">
        <f aca="false">IF($P107="","",IF(ISNUMBER($E107),$E107,0)*$S107)</f>
        <v/>
      </c>
      <c r="X107" s="49" t="str">
        <f aca="false">IF($P107="","",IF(ISNUMBER($E107),$E107,0)*$U107)</f>
        <v/>
      </c>
      <c r="Y107" s="49" t="str">
        <f aca="false">IF($P107="","",IF(AND(CapAtMax="Yes",$P107="Y"),MAX(0,MIN($X107,$K107-$E107)),$X107))</f>
        <v/>
      </c>
      <c r="Z107" s="41" t="str">
        <f aca="false">IF(OR($P107="",NOT(ISNUMBER($E107))),"",$E107+$Y107)</f>
        <v/>
      </c>
      <c r="AA107" s="42" t="str">
        <f aca="false">IF(AND(ISNUMBER(Z107),ISNUMBER(J107)),IF(J107&gt;0,Z107/J107,""),"")</f>
        <v/>
      </c>
      <c r="AB107" s="46" t="str">
        <f aca="false">IF($P107="","",TRIM(IF(AND($P107="Y",ISNUMBER(K107),ISNUMBER(Z107)),IF(Z107&gt;K107,"Above range max. ",""),"")&amp;IF(AND($P107="Y",ISNUMBER($X107),ISNUMBER($Y107)),IF($X107-$Y107&gt;0.005,"Capped at range max. ",""),"")&amp;IF(AND(AND(ISNUMBER($G107),$G107&gt;=0,$G107&lt;=1),$H107=""),"Override needs a reason. ","")&amp;IF(AND(AND(ISNUMBER($G107),$G107&gt;=0,$G107&lt;=1),$P107&lt;&gt;"Y"),"Override ignored. ","")&amp;IF(AND($G107&lt;&gt;"",NOT(AND(ISNUMBER($G107),$G107&gt;=0,$G107&lt;=1))),"Override not valid, ignored. ","")&amp;IF(AND($A107&lt;&gt;"",COUNTIF($A$5:$A$254,$A107)&gt;1),"Duplicate ID. ","")))</f>
        <v/>
      </c>
    </row>
    <row r="108" customFormat="false" ht="15" hidden="false" customHeight="false" outlineLevel="0" collapsed="false">
      <c r="A108" s="18"/>
      <c r="B108" s="38"/>
      <c r="C108" s="39"/>
      <c r="D108" s="38"/>
      <c r="E108" s="19"/>
      <c r="F108" s="38"/>
      <c r="G108" s="40"/>
      <c r="H108" s="18"/>
      <c r="I108" s="41" t="str">
        <f aca="false">IF(COUNTA($A108:$F108)=0,"",IF($B108="","",IFERROR(INDEX(Ranges!$B$5:$B$16,MATCH($B108,Ranges!$A$5:$A$16,0)),"")))</f>
        <v/>
      </c>
      <c r="J108" s="41" t="str">
        <f aca="false">IF(COUNTA($A108:$F108)=0,"",IF($B108="","",IFERROR(INDEX(Ranges!$C$5:$C$16,MATCH($B108,Ranges!$A$5:$A$16,0)),"")))</f>
        <v/>
      </c>
      <c r="K108" s="41" t="str">
        <f aca="false">IF(COUNTA($A108:$F108)=0,"",IF($B108="","",IFERROR(INDEX(Ranges!$D$5:$D$16,MATCH($B108,Ranges!$A$5:$A$16,0)),"")))</f>
        <v/>
      </c>
      <c r="L108" s="42" t="str">
        <f aca="false">IF(OR(NOT(ISNUMBER($E108)),NOT(ISNUMBER(J108))),"",IF(J108&gt;0,$E108/J108,""))</f>
        <v/>
      </c>
      <c r="M108" s="43" t="str">
        <f aca="false">IF(OR(NOT(ISNUMBER($E108)),NOT(ISNUMBER(I108)),NOT(ISNUMBER(K108))),"",IF(K108&gt;I108,($E108-I108)/(K108-I108),""))</f>
        <v/>
      </c>
      <c r="N108" s="42" t="str">
        <f aca="false">IF(Basis="Compa-ratio",L108,M108)</f>
        <v/>
      </c>
      <c r="O108" s="44" t="str">
        <f aca="false">IF(ISNUMBER(N108),IFERROR(MATCH(N108,Matrix!$C$9:$G$9,1),1),"")</f>
        <v/>
      </c>
      <c r="P108" s="45" t="str">
        <f aca="false">IF(COUNTA($A108:$F108)=0,"",IF(Q108="","Y","N"))</f>
        <v/>
      </c>
      <c r="Q108" s="46" t="str">
        <f aca="false">IF(COUNTA($A108:$F108)=0,"",IF($A108="","ID missing",IF(TRIM($F108)="Exclude","Excluded by plan status",IF(AND(TRIM($F108)&lt;&gt;"",TRIM($F108)&lt;&gt;"Include"),"Plan status not valid (use Include or Exclude)",IF(NOT(ISNUMBER($C108)),"Hire date missing or not a date",IF($C108&gt;Cutoff,"Hired after cutoff",IF(NOT(ISNUMBER($E108)),"Salary missing or not a number",IF($E108&lt;=0,"Salary missing or not a number",IF(OR(NOT(ISNUMBER(I108)),NOT(ISNUMBER(J108)),NOT(ISNUMBER(K108))),"Grade not found in Ranges",IF($D108="","Rating missing",IF($D108="NR","Not rated (NR)",IF(NOT(ISNUMBER(MATCH($D108,Matrix!$A$14:$A$18,0))),"Rating not valid (use 1 to 5 or NR)",IF(NOT(ISNUMBER(O108)),"Band not found (check range and limits)","")))))))))))))</f>
        <v/>
      </c>
      <c r="R108" s="47" t="str">
        <f aca="false">IF($P108="Y",INDEX(Matrix!$C$14:$G$18,MATCH($D108,Matrix!$A$14:$A$18,0),$O108),IF($P108="N",0,""))</f>
        <v/>
      </c>
      <c r="S108" s="47" t="str">
        <f aca="false">IF($P108="Y",IF(AND(ISNUMBER($G108),$G108&gt;=0,$G108&lt;=1),$G108,$R108),IF($P108="N",0,""))</f>
        <v/>
      </c>
      <c r="T108" s="48" t="str">
        <f aca="false">IF($P108&lt;&gt;"Y",IF($P108="N",0,""),IF(ProrateMethod="None",1,IF($C108&lt;=PeriodStart,1,IF(ProrateMethod="Daily",MAX(0,MIN(1,(PeriodEnd-$C108+1)/(PeriodEnd-PeriodStart+1))),MAX(0,MIN(1,((YEAR(PeriodEnd)-YEAR($C108))*12+MONTH(PeriodEnd)-MONTH($C108)+1-IF(DAY($C108)&gt;MonthCutDay,1,0))/PeriodMonths))))))</f>
        <v/>
      </c>
      <c r="U108" s="47" t="str">
        <f aca="false">IF($P108="","",$S108*$T108)</f>
        <v/>
      </c>
      <c r="V108" s="49" t="str">
        <f aca="false">IF($P108="","",IF(ISNUMBER($E108),$E108,0)*$R108)</f>
        <v/>
      </c>
      <c r="W108" s="49" t="str">
        <f aca="false">IF($P108="","",IF(ISNUMBER($E108),$E108,0)*$S108)</f>
        <v/>
      </c>
      <c r="X108" s="49" t="str">
        <f aca="false">IF($P108="","",IF(ISNUMBER($E108),$E108,0)*$U108)</f>
        <v/>
      </c>
      <c r="Y108" s="49" t="str">
        <f aca="false">IF($P108="","",IF(AND(CapAtMax="Yes",$P108="Y"),MAX(0,MIN($X108,$K108-$E108)),$X108))</f>
        <v/>
      </c>
      <c r="Z108" s="41" t="str">
        <f aca="false">IF(OR($P108="",NOT(ISNUMBER($E108))),"",$E108+$Y108)</f>
        <v/>
      </c>
      <c r="AA108" s="42" t="str">
        <f aca="false">IF(AND(ISNUMBER(Z108),ISNUMBER(J108)),IF(J108&gt;0,Z108/J108,""),"")</f>
        <v/>
      </c>
      <c r="AB108" s="46" t="str">
        <f aca="false">IF($P108="","",TRIM(IF(AND($P108="Y",ISNUMBER(K108),ISNUMBER(Z108)),IF(Z108&gt;K108,"Above range max. ",""),"")&amp;IF(AND($P108="Y",ISNUMBER($X108),ISNUMBER($Y108)),IF($X108-$Y108&gt;0.005,"Capped at range max. ",""),"")&amp;IF(AND(AND(ISNUMBER($G108),$G108&gt;=0,$G108&lt;=1),$H108=""),"Override needs a reason. ","")&amp;IF(AND(AND(ISNUMBER($G108),$G108&gt;=0,$G108&lt;=1),$P108&lt;&gt;"Y"),"Override ignored. ","")&amp;IF(AND($G108&lt;&gt;"",NOT(AND(ISNUMBER($G108),$G108&gt;=0,$G108&lt;=1))),"Override not valid, ignored. ","")&amp;IF(AND($A108&lt;&gt;"",COUNTIF($A$5:$A$254,$A108)&gt;1),"Duplicate ID. ","")))</f>
        <v/>
      </c>
    </row>
    <row r="109" customFormat="false" ht="15" hidden="false" customHeight="false" outlineLevel="0" collapsed="false">
      <c r="A109" s="18"/>
      <c r="B109" s="38"/>
      <c r="C109" s="39"/>
      <c r="D109" s="38"/>
      <c r="E109" s="19"/>
      <c r="F109" s="38"/>
      <c r="G109" s="40"/>
      <c r="H109" s="18"/>
      <c r="I109" s="41" t="str">
        <f aca="false">IF(COUNTA($A109:$F109)=0,"",IF($B109="","",IFERROR(INDEX(Ranges!$B$5:$B$16,MATCH($B109,Ranges!$A$5:$A$16,0)),"")))</f>
        <v/>
      </c>
      <c r="J109" s="41" t="str">
        <f aca="false">IF(COUNTA($A109:$F109)=0,"",IF($B109="","",IFERROR(INDEX(Ranges!$C$5:$C$16,MATCH($B109,Ranges!$A$5:$A$16,0)),"")))</f>
        <v/>
      </c>
      <c r="K109" s="41" t="str">
        <f aca="false">IF(COUNTA($A109:$F109)=0,"",IF($B109="","",IFERROR(INDEX(Ranges!$D$5:$D$16,MATCH($B109,Ranges!$A$5:$A$16,0)),"")))</f>
        <v/>
      </c>
      <c r="L109" s="42" t="str">
        <f aca="false">IF(OR(NOT(ISNUMBER($E109)),NOT(ISNUMBER(J109))),"",IF(J109&gt;0,$E109/J109,""))</f>
        <v/>
      </c>
      <c r="M109" s="43" t="str">
        <f aca="false">IF(OR(NOT(ISNUMBER($E109)),NOT(ISNUMBER(I109)),NOT(ISNUMBER(K109))),"",IF(K109&gt;I109,($E109-I109)/(K109-I109),""))</f>
        <v/>
      </c>
      <c r="N109" s="42" t="str">
        <f aca="false">IF(Basis="Compa-ratio",L109,M109)</f>
        <v/>
      </c>
      <c r="O109" s="44" t="str">
        <f aca="false">IF(ISNUMBER(N109),IFERROR(MATCH(N109,Matrix!$C$9:$G$9,1),1),"")</f>
        <v/>
      </c>
      <c r="P109" s="45" t="str">
        <f aca="false">IF(COUNTA($A109:$F109)=0,"",IF(Q109="","Y","N"))</f>
        <v/>
      </c>
      <c r="Q109" s="46" t="str">
        <f aca="false">IF(COUNTA($A109:$F109)=0,"",IF($A109="","ID missing",IF(TRIM($F109)="Exclude","Excluded by plan status",IF(AND(TRIM($F109)&lt;&gt;"",TRIM($F109)&lt;&gt;"Include"),"Plan status not valid (use Include or Exclude)",IF(NOT(ISNUMBER($C109)),"Hire date missing or not a date",IF($C109&gt;Cutoff,"Hired after cutoff",IF(NOT(ISNUMBER($E109)),"Salary missing or not a number",IF($E109&lt;=0,"Salary missing or not a number",IF(OR(NOT(ISNUMBER(I109)),NOT(ISNUMBER(J109)),NOT(ISNUMBER(K109))),"Grade not found in Ranges",IF($D109="","Rating missing",IF($D109="NR","Not rated (NR)",IF(NOT(ISNUMBER(MATCH($D109,Matrix!$A$14:$A$18,0))),"Rating not valid (use 1 to 5 or NR)",IF(NOT(ISNUMBER(O109)),"Band not found (check range and limits)","")))))))))))))</f>
        <v/>
      </c>
      <c r="R109" s="47" t="str">
        <f aca="false">IF($P109="Y",INDEX(Matrix!$C$14:$G$18,MATCH($D109,Matrix!$A$14:$A$18,0),$O109),IF($P109="N",0,""))</f>
        <v/>
      </c>
      <c r="S109" s="47" t="str">
        <f aca="false">IF($P109="Y",IF(AND(ISNUMBER($G109),$G109&gt;=0,$G109&lt;=1),$G109,$R109),IF($P109="N",0,""))</f>
        <v/>
      </c>
      <c r="T109" s="48" t="str">
        <f aca="false">IF($P109&lt;&gt;"Y",IF($P109="N",0,""),IF(ProrateMethod="None",1,IF($C109&lt;=PeriodStart,1,IF(ProrateMethod="Daily",MAX(0,MIN(1,(PeriodEnd-$C109+1)/(PeriodEnd-PeriodStart+1))),MAX(0,MIN(1,((YEAR(PeriodEnd)-YEAR($C109))*12+MONTH(PeriodEnd)-MONTH($C109)+1-IF(DAY($C109)&gt;MonthCutDay,1,0))/PeriodMonths))))))</f>
        <v/>
      </c>
      <c r="U109" s="47" t="str">
        <f aca="false">IF($P109="","",$S109*$T109)</f>
        <v/>
      </c>
      <c r="V109" s="49" t="str">
        <f aca="false">IF($P109="","",IF(ISNUMBER($E109),$E109,0)*$R109)</f>
        <v/>
      </c>
      <c r="W109" s="49" t="str">
        <f aca="false">IF($P109="","",IF(ISNUMBER($E109),$E109,0)*$S109)</f>
        <v/>
      </c>
      <c r="X109" s="49" t="str">
        <f aca="false">IF($P109="","",IF(ISNUMBER($E109),$E109,0)*$U109)</f>
        <v/>
      </c>
      <c r="Y109" s="49" t="str">
        <f aca="false">IF($P109="","",IF(AND(CapAtMax="Yes",$P109="Y"),MAX(0,MIN($X109,$K109-$E109)),$X109))</f>
        <v/>
      </c>
      <c r="Z109" s="41" t="str">
        <f aca="false">IF(OR($P109="",NOT(ISNUMBER($E109))),"",$E109+$Y109)</f>
        <v/>
      </c>
      <c r="AA109" s="42" t="str">
        <f aca="false">IF(AND(ISNUMBER(Z109),ISNUMBER(J109)),IF(J109&gt;0,Z109/J109,""),"")</f>
        <v/>
      </c>
      <c r="AB109" s="46" t="str">
        <f aca="false">IF($P109="","",TRIM(IF(AND($P109="Y",ISNUMBER(K109),ISNUMBER(Z109)),IF(Z109&gt;K109,"Above range max. ",""),"")&amp;IF(AND($P109="Y",ISNUMBER($X109),ISNUMBER($Y109)),IF($X109-$Y109&gt;0.005,"Capped at range max. ",""),"")&amp;IF(AND(AND(ISNUMBER($G109),$G109&gt;=0,$G109&lt;=1),$H109=""),"Override needs a reason. ","")&amp;IF(AND(AND(ISNUMBER($G109),$G109&gt;=0,$G109&lt;=1),$P109&lt;&gt;"Y"),"Override ignored. ","")&amp;IF(AND($G109&lt;&gt;"",NOT(AND(ISNUMBER($G109),$G109&gt;=0,$G109&lt;=1))),"Override not valid, ignored. ","")&amp;IF(AND($A109&lt;&gt;"",COUNTIF($A$5:$A$254,$A109)&gt;1),"Duplicate ID. ","")))</f>
        <v/>
      </c>
    </row>
    <row r="110" customFormat="false" ht="15" hidden="false" customHeight="false" outlineLevel="0" collapsed="false">
      <c r="A110" s="18"/>
      <c r="B110" s="38"/>
      <c r="C110" s="39"/>
      <c r="D110" s="38"/>
      <c r="E110" s="19"/>
      <c r="F110" s="38"/>
      <c r="G110" s="40"/>
      <c r="H110" s="18"/>
      <c r="I110" s="41" t="str">
        <f aca="false">IF(COUNTA($A110:$F110)=0,"",IF($B110="","",IFERROR(INDEX(Ranges!$B$5:$B$16,MATCH($B110,Ranges!$A$5:$A$16,0)),"")))</f>
        <v/>
      </c>
      <c r="J110" s="41" t="str">
        <f aca="false">IF(COUNTA($A110:$F110)=0,"",IF($B110="","",IFERROR(INDEX(Ranges!$C$5:$C$16,MATCH($B110,Ranges!$A$5:$A$16,0)),"")))</f>
        <v/>
      </c>
      <c r="K110" s="41" t="str">
        <f aca="false">IF(COUNTA($A110:$F110)=0,"",IF($B110="","",IFERROR(INDEX(Ranges!$D$5:$D$16,MATCH($B110,Ranges!$A$5:$A$16,0)),"")))</f>
        <v/>
      </c>
      <c r="L110" s="42" t="str">
        <f aca="false">IF(OR(NOT(ISNUMBER($E110)),NOT(ISNUMBER(J110))),"",IF(J110&gt;0,$E110/J110,""))</f>
        <v/>
      </c>
      <c r="M110" s="43" t="str">
        <f aca="false">IF(OR(NOT(ISNUMBER($E110)),NOT(ISNUMBER(I110)),NOT(ISNUMBER(K110))),"",IF(K110&gt;I110,($E110-I110)/(K110-I110),""))</f>
        <v/>
      </c>
      <c r="N110" s="42" t="str">
        <f aca="false">IF(Basis="Compa-ratio",L110,M110)</f>
        <v/>
      </c>
      <c r="O110" s="44" t="str">
        <f aca="false">IF(ISNUMBER(N110),IFERROR(MATCH(N110,Matrix!$C$9:$G$9,1),1),"")</f>
        <v/>
      </c>
      <c r="P110" s="45" t="str">
        <f aca="false">IF(COUNTA($A110:$F110)=0,"",IF(Q110="","Y","N"))</f>
        <v/>
      </c>
      <c r="Q110" s="46" t="str">
        <f aca="false">IF(COUNTA($A110:$F110)=0,"",IF($A110="","ID missing",IF(TRIM($F110)="Exclude","Excluded by plan status",IF(AND(TRIM($F110)&lt;&gt;"",TRIM($F110)&lt;&gt;"Include"),"Plan status not valid (use Include or Exclude)",IF(NOT(ISNUMBER($C110)),"Hire date missing or not a date",IF($C110&gt;Cutoff,"Hired after cutoff",IF(NOT(ISNUMBER($E110)),"Salary missing or not a number",IF($E110&lt;=0,"Salary missing or not a number",IF(OR(NOT(ISNUMBER(I110)),NOT(ISNUMBER(J110)),NOT(ISNUMBER(K110))),"Grade not found in Ranges",IF($D110="","Rating missing",IF($D110="NR","Not rated (NR)",IF(NOT(ISNUMBER(MATCH($D110,Matrix!$A$14:$A$18,0))),"Rating not valid (use 1 to 5 or NR)",IF(NOT(ISNUMBER(O110)),"Band not found (check range and limits)","")))))))))))))</f>
        <v/>
      </c>
      <c r="R110" s="47" t="str">
        <f aca="false">IF($P110="Y",INDEX(Matrix!$C$14:$G$18,MATCH($D110,Matrix!$A$14:$A$18,0),$O110),IF($P110="N",0,""))</f>
        <v/>
      </c>
      <c r="S110" s="47" t="str">
        <f aca="false">IF($P110="Y",IF(AND(ISNUMBER($G110),$G110&gt;=0,$G110&lt;=1),$G110,$R110),IF($P110="N",0,""))</f>
        <v/>
      </c>
      <c r="T110" s="48" t="str">
        <f aca="false">IF($P110&lt;&gt;"Y",IF($P110="N",0,""),IF(ProrateMethod="None",1,IF($C110&lt;=PeriodStart,1,IF(ProrateMethod="Daily",MAX(0,MIN(1,(PeriodEnd-$C110+1)/(PeriodEnd-PeriodStart+1))),MAX(0,MIN(1,((YEAR(PeriodEnd)-YEAR($C110))*12+MONTH(PeriodEnd)-MONTH($C110)+1-IF(DAY($C110)&gt;MonthCutDay,1,0))/PeriodMonths))))))</f>
        <v/>
      </c>
      <c r="U110" s="47" t="str">
        <f aca="false">IF($P110="","",$S110*$T110)</f>
        <v/>
      </c>
      <c r="V110" s="49" t="str">
        <f aca="false">IF($P110="","",IF(ISNUMBER($E110),$E110,0)*$R110)</f>
        <v/>
      </c>
      <c r="W110" s="49" t="str">
        <f aca="false">IF($P110="","",IF(ISNUMBER($E110),$E110,0)*$S110)</f>
        <v/>
      </c>
      <c r="X110" s="49" t="str">
        <f aca="false">IF($P110="","",IF(ISNUMBER($E110),$E110,0)*$U110)</f>
        <v/>
      </c>
      <c r="Y110" s="49" t="str">
        <f aca="false">IF($P110="","",IF(AND(CapAtMax="Yes",$P110="Y"),MAX(0,MIN($X110,$K110-$E110)),$X110))</f>
        <v/>
      </c>
      <c r="Z110" s="41" t="str">
        <f aca="false">IF(OR($P110="",NOT(ISNUMBER($E110))),"",$E110+$Y110)</f>
        <v/>
      </c>
      <c r="AA110" s="42" t="str">
        <f aca="false">IF(AND(ISNUMBER(Z110),ISNUMBER(J110)),IF(J110&gt;0,Z110/J110,""),"")</f>
        <v/>
      </c>
      <c r="AB110" s="46" t="str">
        <f aca="false">IF($P110="","",TRIM(IF(AND($P110="Y",ISNUMBER(K110),ISNUMBER(Z110)),IF(Z110&gt;K110,"Above range max. ",""),"")&amp;IF(AND($P110="Y",ISNUMBER($X110),ISNUMBER($Y110)),IF($X110-$Y110&gt;0.005,"Capped at range max. ",""),"")&amp;IF(AND(AND(ISNUMBER($G110),$G110&gt;=0,$G110&lt;=1),$H110=""),"Override needs a reason. ","")&amp;IF(AND(AND(ISNUMBER($G110),$G110&gt;=0,$G110&lt;=1),$P110&lt;&gt;"Y"),"Override ignored. ","")&amp;IF(AND($G110&lt;&gt;"",NOT(AND(ISNUMBER($G110),$G110&gt;=0,$G110&lt;=1))),"Override not valid, ignored. ","")&amp;IF(AND($A110&lt;&gt;"",COUNTIF($A$5:$A$254,$A110)&gt;1),"Duplicate ID. ","")))</f>
        <v/>
      </c>
    </row>
    <row r="111" customFormat="false" ht="15" hidden="false" customHeight="false" outlineLevel="0" collapsed="false">
      <c r="A111" s="18"/>
      <c r="B111" s="38"/>
      <c r="C111" s="39"/>
      <c r="D111" s="38"/>
      <c r="E111" s="19"/>
      <c r="F111" s="38"/>
      <c r="G111" s="40"/>
      <c r="H111" s="18"/>
      <c r="I111" s="41" t="str">
        <f aca="false">IF(COUNTA($A111:$F111)=0,"",IF($B111="","",IFERROR(INDEX(Ranges!$B$5:$B$16,MATCH($B111,Ranges!$A$5:$A$16,0)),"")))</f>
        <v/>
      </c>
      <c r="J111" s="41" t="str">
        <f aca="false">IF(COUNTA($A111:$F111)=0,"",IF($B111="","",IFERROR(INDEX(Ranges!$C$5:$C$16,MATCH($B111,Ranges!$A$5:$A$16,0)),"")))</f>
        <v/>
      </c>
      <c r="K111" s="41" t="str">
        <f aca="false">IF(COUNTA($A111:$F111)=0,"",IF($B111="","",IFERROR(INDEX(Ranges!$D$5:$D$16,MATCH($B111,Ranges!$A$5:$A$16,0)),"")))</f>
        <v/>
      </c>
      <c r="L111" s="42" t="str">
        <f aca="false">IF(OR(NOT(ISNUMBER($E111)),NOT(ISNUMBER(J111))),"",IF(J111&gt;0,$E111/J111,""))</f>
        <v/>
      </c>
      <c r="M111" s="43" t="str">
        <f aca="false">IF(OR(NOT(ISNUMBER($E111)),NOT(ISNUMBER(I111)),NOT(ISNUMBER(K111))),"",IF(K111&gt;I111,($E111-I111)/(K111-I111),""))</f>
        <v/>
      </c>
      <c r="N111" s="42" t="str">
        <f aca="false">IF(Basis="Compa-ratio",L111,M111)</f>
        <v/>
      </c>
      <c r="O111" s="44" t="str">
        <f aca="false">IF(ISNUMBER(N111),IFERROR(MATCH(N111,Matrix!$C$9:$G$9,1),1),"")</f>
        <v/>
      </c>
      <c r="P111" s="45" t="str">
        <f aca="false">IF(COUNTA($A111:$F111)=0,"",IF(Q111="","Y","N"))</f>
        <v/>
      </c>
      <c r="Q111" s="46" t="str">
        <f aca="false">IF(COUNTA($A111:$F111)=0,"",IF($A111="","ID missing",IF(TRIM($F111)="Exclude","Excluded by plan status",IF(AND(TRIM($F111)&lt;&gt;"",TRIM($F111)&lt;&gt;"Include"),"Plan status not valid (use Include or Exclude)",IF(NOT(ISNUMBER($C111)),"Hire date missing or not a date",IF($C111&gt;Cutoff,"Hired after cutoff",IF(NOT(ISNUMBER($E111)),"Salary missing or not a number",IF($E111&lt;=0,"Salary missing or not a number",IF(OR(NOT(ISNUMBER(I111)),NOT(ISNUMBER(J111)),NOT(ISNUMBER(K111))),"Grade not found in Ranges",IF($D111="","Rating missing",IF($D111="NR","Not rated (NR)",IF(NOT(ISNUMBER(MATCH($D111,Matrix!$A$14:$A$18,0))),"Rating not valid (use 1 to 5 or NR)",IF(NOT(ISNUMBER(O111)),"Band not found (check range and limits)","")))))))))))))</f>
        <v/>
      </c>
      <c r="R111" s="47" t="str">
        <f aca="false">IF($P111="Y",INDEX(Matrix!$C$14:$G$18,MATCH($D111,Matrix!$A$14:$A$18,0),$O111),IF($P111="N",0,""))</f>
        <v/>
      </c>
      <c r="S111" s="47" t="str">
        <f aca="false">IF($P111="Y",IF(AND(ISNUMBER($G111),$G111&gt;=0,$G111&lt;=1),$G111,$R111),IF($P111="N",0,""))</f>
        <v/>
      </c>
      <c r="T111" s="48" t="str">
        <f aca="false">IF($P111&lt;&gt;"Y",IF($P111="N",0,""),IF(ProrateMethod="None",1,IF($C111&lt;=PeriodStart,1,IF(ProrateMethod="Daily",MAX(0,MIN(1,(PeriodEnd-$C111+1)/(PeriodEnd-PeriodStart+1))),MAX(0,MIN(1,((YEAR(PeriodEnd)-YEAR($C111))*12+MONTH(PeriodEnd)-MONTH($C111)+1-IF(DAY($C111)&gt;MonthCutDay,1,0))/PeriodMonths))))))</f>
        <v/>
      </c>
      <c r="U111" s="47" t="str">
        <f aca="false">IF($P111="","",$S111*$T111)</f>
        <v/>
      </c>
      <c r="V111" s="49" t="str">
        <f aca="false">IF($P111="","",IF(ISNUMBER($E111),$E111,0)*$R111)</f>
        <v/>
      </c>
      <c r="W111" s="49" t="str">
        <f aca="false">IF($P111="","",IF(ISNUMBER($E111),$E111,0)*$S111)</f>
        <v/>
      </c>
      <c r="X111" s="49" t="str">
        <f aca="false">IF($P111="","",IF(ISNUMBER($E111),$E111,0)*$U111)</f>
        <v/>
      </c>
      <c r="Y111" s="49" t="str">
        <f aca="false">IF($P111="","",IF(AND(CapAtMax="Yes",$P111="Y"),MAX(0,MIN($X111,$K111-$E111)),$X111))</f>
        <v/>
      </c>
      <c r="Z111" s="41" t="str">
        <f aca="false">IF(OR($P111="",NOT(ISNUMBER($E111))),"",$E111+$Y111)</f>
        <v/>
      </c>
      <c r="AA111" s="42" t="str">
        <f aca="false">IF(AND(ISNUMBER(Z111),ISNUMBER(J111)),IF(J111&gt;0,Z111/J111,""),"")</f>
        <v/>
      </c>
      <c r="AB111" s="46" t="str">
        <f aca="false">IF($P111="","",TRIM(IF(AND($P111="Y",ISNUMBER(K111),ISNUMBER(Z111)),IF(Z111&gt;K111,"Above range max. ",""),"")&amp;IF(AND($P111="Y",ISNUMBER($X111),ISNUMBER($Y111)),IF($X111-$Y111&gt;0.005,"Capped at range max. ",""),"")&amp;IF(AND(AND(ISNUMBER($G111),$G111&gt;=0,$G111&lt;=1),$H111=""),"Override needs a reason. ","")&amp;IF(AND(AND(ISNUMBER($G111),$G111&gt;=0,$G111&lt;=1),$P111&lt;&gt;"Y"),"Override ignored. ","")&amp;IF(AND($G111&lt;&gt;"",NOT(AND(ISNUMBER($G111),$G111&gt;=0,$G111&lt;=1))),"Override not valid, ignored. ","")&amp;IF(AND($A111&lt;&gt;"",COUNTIF($A$5:$A$254,$A111)&gt;1),"Duplicate ID. ","")))</f>
        <v/>
      </c>
    </row>
    <row r="112" customFormat="false" ht="15" hidden="false" customHeight="false" outlineLevel="0" collapsed="false">
      <c r="A112" s="18"/>
      <c r="B112" s="38"/>
      <c r="C112" s="39"/>
      <c r="D112" s="38"/>
      <c r="E112" s="19"/>
      <c r="F112" s="38"/>
      <c r="G112" s="40"/>
      <c r="H112" s="18"/>
      <c r="I112" s="41" t="str">
        <f aca="false">IF(COUNTA($A112:$F112)=0,"",IF($B112="","",IFERROR(INDEX(Ranges!$B$5:$B$16,MATCH($B112,Ranges!$A$5:$A$16,0)),"")))</f>
        <v/>
      </c>
      <c r="J112" s="41" t="str">
        <f aca="false">IF(COUNTA($A112:$F112)=0,"",IF($B112="","",IFERROR(INDEX(Ranges!$C$5:$C$16,MATCH($B112,Ranges!$A$5:$A$16,0)),"")))</f>
        <v/>
      </c>
      <c r="K112" s="41" t="str">
        <f aca="false">IF(COUNTA($A112:$F112)=0,"",IF($B112="","",IFERROR(INDEX(Ranges!$D$5:$D$16,MATCH($B112,Ranges!$A$5:$A$16,0)),"")))</f>
        <v/>
      </c>
      <c r="L112" s="42" t="str">
        <f aca="false">IF(OR(NOT(ISNUMBER($E112)),NOT(ISNUMBER(J112))),"",IF(J112&gt;0,$E112/J112,""))</f>
        <v/>
      </c>
      <c r="M112" s="43" t="str">
        <f aca="false">IF(OR(NOT(ISNUMBER($E112)),NOT(ISNUMBER(I112)),NOT(ISNUMBER(K112))),"",IF(K112&gt;I112,($E112-I112)/(K112-I112),""))</f>
        <v/>
      </c>
      <c r="N112" s="42" t="str">
        <f aca="false">IF(Basis="Compa-ratio",L112,M112)</f>
        <v/>
      </c>
      <c r="O112" s="44" t="str">
        <f aca="false">IF(ISNUMBER(N112),IFERROR(MATCH(N112,Matrix!$C$9:$G$9,1),1),"")</f>
        <v/>
      </c>
      <c r="P112" s="45" t="str">
        <f aca="false">IF(COUNTA($A112:$F112)=0,"",IF(Q112="","Y","N"))</f>
        <v/>
      </c>
      <c r="Q112" s="46" t="str">
        <f aca="false">IF(COUNTA($A112:$F112)=0,"",IF($A112="","ID missing",IF(TRIM($F112)="Exclude","Excluded by plan status",IF(AND(TRIM($F112)&lt;&gt;"",TRIM($F112)&lt;&gt;"Include"),"Plan status not valid (use Include or Exclude)",IF(NOT(ISNUMBER($C112)),"Hire date missing or not a date",IF($C112&gt;Cutoff,"Hired after cutoff",IF(NOT(ISNUMBER($E112)),"Salary missing or not a number",IF($E112&lt;=0,"Salary missing or not a number",IF(OR(NOT(ISNUMBER(I112)),NOT(ISNUMBER(J112)),NOT(ISNUMBER(K112))),"Grade not found in Ranges",IF($D112="","Rating missing",IF($D112="NR","Not rated (NR)",IF(NOT(ISNUMBER(MATCH($D112,Matrix!$A$14:$A$18,0))),"Rating not valid (use 1 to 5 or NR)",IF(NOT(ISNUMBER(O112)),"Band not found (check range and limits)","")))))))))))))</f>
        <v/>
      </c>
      <c r="R112" s="47" t="str">
        <f aca="false">IF($P112="Y",INDEX(Matrix!$C$14:$G$18,MATCH($D112,Matrix!$A$14:$A$18,0),$O112),IF($P112="N",0,""))</f>
        <v/>
      </c>
      <c r="S112" s="47" t="str">
        <f aca="false">IF($P112="Y",IF(AND(ISNUMBER($G112),$G112&gt;=0,$G112&lt;=1),$G112,$R112),IF($P112="N",0,""))</f>
        <v/>
      </c>
      <c r="T112" s="48" t="str">
        <f aca="false">IF($P112&lt;&gt;"Y",IF($P112="N",0,""),IF(ProrateMethod="None",1,IF($C112&lt;=PeriodStart,1,IF(ProrateMethod="Daily",MAX(0,MIN(1,(PeriodEnd-$C112+1)/(PeriodEnd-PeriodStart+1))),MAX(0,MIN(1,((YEAR(PeriodEnd)-YEAR($C112))*12+MONTH(PeriodEnd)-MONTH($C112)+1-IF(DAY($C112)&gt;MonthCutDay,1,0))/PeriodMonths))))))</f>
        <v/>
      </c>
      <c r="U112" s="47" t="str">
        <f aca="false">IF($P112="","",$S112*$T112)</f>
        <v/>
      </c>
      <c r="V112" s="49" t="str">
        <f aca="false">IF($P112="","",IF(ISNUMBER($E112),$E112,0)*$R112)</f>
        <v/>
      </c>
      <c r="W112" s="49" t="str">
        <f aca="false">IF($P112="","",IF(ISNUMBER($E112),$E112,0)*$S112)</f>
        <v/>
      </c>
      <c r="X112" s="49" t="str">
        <f aca="false">IF($P112="","",IF(ISNUMBER($E112),$E112,0)*$U112)</f>
        <v/>
      </c>
      <c r="Y112" s="49" t="str">
        <f aca="false">IF($P112="","",IF(AND(CapAtMax="Yes",$P112="Y"),MAX(0,MIN($X112,$K112-$E112)),$X112))</f>
        <v/>
      </c>
      <c r="Z112" s="41" t="str">
        <f aca="false">IF(OR($P112="",NOT(ISNUMBER($E112))),"",$E112+$Y112)</f>
        <v/>
      </c>
      <c r="AA112" s="42" t="str">
        <f aca="false">IF(AND(ISNUMBER(Z112),ISNUMBER(J112)),IF(J112&gt;0,Z112/J112,""),"")</f>
        <v/>
      </c>
      <c r="AB112" s="46" t="str">
        <f aca="false">IF($P112="","",TRIM(IF(AND($P112="Y",ISNUMBER(K112),ISNUMBER(Z112)),IF(Z112&gt;K112,"Above range max. ",""),"")&amp;IF(AND($P112="Y",ISNUMBER($X112),ISNUMBER($Y112)),IF($X112-$Y112&gt;0.005,"Capped at range max. ",""),"")&amp;IF(AND(AND(ISNUMBER($G112),$G112&gt;=0,$G112&lt;=1),$H112=""),"Override needs a reason. ","")&amp;IF(AND(AND(ISNUMBER($G112),$G112&gt;=0,$G112&lt;=1),$P112&lt;&gt;"Y"),"Override ignored. ","")&amp;IF(AND($G112&lt;&gt;"",NOT(AND(ISNUMBER($G112),$G112&gt;=0,$G112&lt;=1))),"Override not valid, ignored. ","")&amp;IF(AND($A112&lt;&gt;"",COUNTIF($A$5:$A$254,$A112)&gt;1),"Duplicate ID. ","")))</f>
        <v/>
      </c>
    </row>
    <row r="113" customFormat="false" ht="15" hidden="false" customHeight="false" outlineLevel="0" collapsed="false">
      <c r="A113" s="18"/>
      <c r="B113" s="38"/>
      <c r="C113" s="39"/>
      <c r="D113" s="38"/>
      <c r="E113" s="19"/>
      <c r="F113" s="38"/>
      <c r="G113" s="40"/>
      <c r="H113" s="18"/>
      <c r="I113" s="41" t="str">
        <f aca="false">IF(COUNTA($A113:$F113)=0,"",IF($B113="","",IFERROR(INDEX(Ranges!$B$5:$B$16,MATCH($B113,Ranges!$A$5:$A$16,0)),"")))</f>
        <v/>
      </c>
      <c r="J113" s="41" t="str">
        <f aca="false">IF(COUNTA($A113:$F113)=0,"",IF($B113="","",IFERROR(INDEX(Ranges!$C$5:$C$16,MATCH($B113,Ranges!$A$5:$A$16,0)),"")))</f>
        <v/>
      </c>
      <c r="K113" s="41" t="str">
        <f aca="false">IF(COUNTA($A113:$F113)=0,"",IF($B113="","",IFERROR(INDEX(Ranges!$D$5:$D$16,MATCH($B113,Ranges!$A$5:$A$16,0)),"")))</f>
        <v/>
      </c>
      <c r="L113" s="42" t="str">
        <f aca="false">IF(OR(NOT(ISNUMBER($E113)),NOT(ISNUMBER(J113))),"",IF(J113&gt;0,$E113/J113,""))</f>
        <v/>
      </c>
      <c r="M113" s="43" t="str">
        <f aca="false">IF(OR(NOT(ISNUMBER($E113)),NOT(ISNUMBER(I113)),NOT(ISNUMBER(K113))),"",IF(K113&gt;I113,($E113-I113)/(K113-I113),""))</f>
        <v/>
      </c>
      <c r="N113" s="42" t="str">
        <f aca="false">IF(Basis="Compa-ratio",L113,M113)</f>
        <v/>
      </c>
      <c r="O113" s="44" t="str">
        <f aca="false">IF(ISNUMBER(N113),IFERROR(MATCH(N113,Matrix!$C$9:$G$9,1),1),"")</f>
        <v/>
      </c>
      <c r="P113" s="45" t="str">
        <f aca="false">IF(COUNTA($A113:$F113)=0,"",IF(Q113="","Y","N"))</f>
        <v/>
      </c>
      <c r="Q113" s="46" t="str">
        <f aca="false">IF(COUNTA($A113:$F113)=0,"",IF($A113="","ID missing",IF(TRIM($F113)="Exclude","Excluded by plan status",IF(AND(TRIM($F113)&lt;&gt;"",TRIM($F113)&lt;&gt;"Include"),"Plan status not valid (use Include or Exclude)",IF(NOT(ISNUMBER($C113)),"Hire date missing or not a date",IF($C113&gt;Cutoff,"Hired after cutoff",IF(NOT(ISNUMBER($E113)),"Salary missing or not a number",IF($E113&lt;=0,"Salary missing or not a number",IF(OR(NOT(ISNUMBER(I113)),NOT(ISNUMBER(J113)),NOT(ISNUMBER(K113))),"Grade not found in Ranges",IF($D113="","Rating missing",IF($D113="NR","Not rated (NR)",IF(NOT(ISNUMBER(MATCH($D113,Matrix!$A$14:$A$18,0))),"Rating not valid (use 1 to 5 or NR)",IF(NOT(ISNUMBER(O113)),"Band not found (check range and limits)","")))))))))))))</f>
        <v/>
      </c>
      <c r="R113" s="47" t="str">
        <f aca="false">IF($P113="Y",INDEX(Matrix!$C$14:$G$18,MATCH($D113,Matrix!$A$14:$A$18,0),$O113),IF($P113="N",0,""))</f>
        <v/>
      </c>
      <c r="S113" s="47" t="str">
        <f aca="false">IF($P113="Y",IF(AND(ISNUMBER($G113),$G113&gt;=0,$G113&lt;=1),$G113,$R113),IF($P113="N",0,""))</f>
        <v/>
      </c>
      <c r="T113" s="48" t="str">
        <f aca="false">IF($P113&lt;&gt;"Y",IF($P113="N",0,""),IF(ProrateMethod="None",1,IF($C113&lt;=PeriodStart,1,IF(ProrateMethod="Daily",MAX(0,MIN(1,(PeriodEnd-$C113+1)/(PeriodEnd-PeriodStart+1))),MAX(0,MIN(1,((YEAR(PeriodEnd)-YEAR($C113))*12+MONTH(PeriodEnd)-MONTH($C113)+1-IF(DAY($C113)&gt;MonthCutDay,1,0))/PeriodMonths))))))</f>
        <v/>
      </c>
      <c r="U113" s="47" t="str">
        <f aca="false">IF($P113="","",$S113*$T113)</f>
        <v/>
      </c>
      <c r="V113" s="49" t="str">
        <f aca="false">IF($P113="","",IF(ISNUMBER($E113),$E113,0)*$R113)</f>
        <v/>
      </c>
      <c r="W113" s="49" t="str">
        <f aca="false">IF($P113="","",IF(ISNUMBER($E113),$E113,0)*$S113)</f>
        <v/>
      </c>
      <c r="X113" s="49" t="str">
        <f aca="false">IF($P113="","",IF(ISNUMBER($E113),$E113,0)*$U113)</f>
        <v/>
      </c>
      <c r="Y113" s="49" t="str">
        <f aca="false">IF($P113="","",IF(AND(CapAtMax="Yes",$P113="Y"),MAX(0,MIN($X113,$K113-$E113)),$X113))</f>
        <v/>
      </c>
      <c r="Z113" s="41" t="str">
        <f aca="false">IF(OR($P113="",NOT(ISNUMBER($E113))),"",$E113+$Y113)</f>
        <v/>
      </c>
      <c r="AA113" s="42" t="str">
        <f aca="false">IF(AND(ISNUMBER(Z113),ISNUMBER(J113)),IF(J113&gt;0,Z113/J113,""),"")</f>
        <v/>
      </c>
      <c r="AB113" s="46" t="str">
        <f aca="false">IF($P113="","",TRIM(IF(AND($P113="Y",ISNUMBER(K113),ISNUMBER(Z113)),IF(Z113&gt;K113,"Above range max. ",""),"")&amp;IF(AND($P113="Y",ISNUMBER($X113),ISNUMBER($Y113)),IF($X113-$Y113&gt;0.005,"Capped at range max. ",""),"")&amp;IF(AND(AND(ISNUMBER($G113),$G113&gt;=0,$G113&lt;=1),$H113=""),"Override needs a reason. ","")&amp;IF(AND(AND(ISNUMBER($G113),$G113&gt;=0,$G113&lt;=1),$P113&lt;&gt;"Y"),"Override ignored. ","")&amp;IF(AND($G113&lt;&gt;"",NOT(AND(ISNUMBER($G113),$G113&gt;=0,$G113&lt;=1))),"Override not valid, ignored. ","")&amp;IF(AND($A113&lt;&gt;"",COUNTIF($A$5:$A$254,$A113)&gt;1),"Duplicate ID. ","")))</f>
        <v/>
      </c>
    </row>
    <row r="114" customFormat="false" ht="15" hidden="false" customHeight="false" outlineLevel="0" collapsed="false">
      <c r="A114" s="18"/>
      <c r="B114" s="38"/>
      <c r="C114" s="39"/>
      <c r="D114" s="38"/>
      <c r="E114" s="19"/>
      <c r="F114" s="38"/>
      <c r="G114" s="40"/>
      <c r="H114" s="18"/>
      <c r="I114" s="41" t="str">
        <f aca="false">IF(COUNTA($A114:$F114)=0,"",IF($B114="","",IFERROR(INDEX(Ranges!$B$5:$B$16,MATCH($B114,Ranges!$A$5:$A$16,0)),"")))</f>
        <v/>
      </c>
      <c r="J114" s="41" t="str">
        <f aca="false">IF(COUNTA($A114:$F114)=0,"",IF($B114="","",IFERROR(INDEX(Ranges!$C$5:$C$16,MATCH($B114,Ranges!$A$5:$A$16,0)),"")))</f>
        <v/>
      </c>
      <c r="K114" s="41" t="str">
        <f aca="false">IF(COUNTA($A114:$F114)=0,"",IF($B114="","",IFERROR(INDEX(Ranges!$D$5:$D$16,MATCH($B114,Ranges!$A$5:$A$16,0)),"")))</f>
        <v/>
      </c>
      <c r="L114" s="42" t="str">
        <f aca="false">IF(OR(NOT(ISNUMBER($E114)),NOT(ISNUMBER(J114))),"",IF(J114&gt;0,$E114/J114,""))</f>
        <v/>
      </c>
      <c r="M114" s="43" t="str">
        <f aca="false">IF(OR(NOT(ISNUMBER($E114)),NOT(ISNUMBER(I114)),NOT(ISNUMBER(K114))),"",IF(K114&gt;I114,($E114-I114)/(K114-I114),""))</f>
        <v/>
      </c>
      <c r="N114" s="42" t="str">
        <f aca="false">IF(Basis="Compa-ratio",L114,M114)</f>
        <v/>
      </c>
      <c r="O114" s="44" t="str">
        <f aca="false">IF(ISNUMBER(N114),IFERROR(MATCH(N114,Matrix!$C$9:$G$9,1),1),"")</f>
        <v/>
      </c>
      <c r="P114" s="45" t="str">
        <f aca="false">IF(COUNTA($A114:$F114)=0,"",IF(Q114="","Y","N"))</f>
        <v/>
      </c>
      <c r="Q114" s="46" t="str">
        <f aca="false">IF(COUNTA($A114:$F114)=0,"",IF($A114="","ID missing",IF(TRIM($F114)="Exclude","Excluded by plan status",IF(AND(TRIM($F114)&lt;&gt;"",TRIM($F114)&lt;&gt;"Include"),"Plan status not valid (use Include or Exclude)",IF(NOT(ISNUMBER($C114)),"Hire date missing or not a date",IF($C114&gt;Cutoff,"Hired after cutoff",IF(NOT(ISNUMBER($E114)),"Salary missing or not a number",IF($E114&lt;=0,"Salary missing or not a number",IF(OR(NOT(ISNUMBER(I114)),NOT(ISNUMBER(J114)),NOT(ISNUMBER(K114))),"Grade not found in Ranges",IF($D114="","Rating missing",IF($D114="NR","Not rated (NR)",IF(NOT(ISNUMBER(MATCH($D114,Matrix!$A$14:$A$18,0))),"Rating not valid (use 1 to 5 or NR)",IF(NOT(ISNUMBER(O114)),"Band not found (check range and limits)","")))))))))))))</f>
        <v/>
      </c>
      <c r="R114" s="47" t="str">
        <f aca="false">IF($P114="Y",INDEX(Matrix!$C$14:$G$18,MATCH($D114,Matrix!$A$14:$A$18,0),$O114),IF($P114="N",0,""))</f>
        <v/>
      </c>
      <c r="S114" s="47" t="str">
        <f aca="false">IF($P114="Y",IF(AND(ISNUMBER($G114),$G114&gt;=0,$G114&lt;=1),$G114,$R114),IF($P114="N",0,""))</f>
        <v/>
      </c>
      <c r="T114" s="48" t="str">
        <f aca="false">IF($P114&lt;&gt;"Y",IF($P114="N",0,""),IF(ProrateMethod="None",1,IF($C114&lt;=PeriodStart,1,IF(ProrateMethod="Daily",MAX(0,MIN(1,(PeriodEnd-$C114+1)/(PeriodEnd-PeriodStart+1))),MAX(0,MIN(1,((YEAR(PeriodEnd)-YEAR($C114))*12+MONTH(PeriodEnd)-MONTH($C114)+1-IF(DAY($C114)&gt;MonthCutDay,1,0))/PeriodMonths))))))</f>
        <v/>
      </c>
      <c r="U114" s="47" t="str">
        <f aca="false">IF($P114="","",$S114*$T114)</f>
        <v/>
      </c>
      <c r="V114" s="49" t="str">
        <f aca="false">IF($P114="","",IF(ISNUMBER($E114),$E114,0)*$R114)</f>
        <v/>
      </c>
      <c r="W114" s="49" t="str">
        <f aca="false">IF($P114="","",IF(ISNUMBER($E114),$E114,0)*$S114)</f>
        <v/>
      </c>
      <c r="X114" s="49" t="str">
        <f aca="false">IF($P114="","",IF(ISNUMBER($E114),$E114,0)*$U114)</f>
        <v/>
      </c>
      <c r="Y114" s="49" t="str">
        <f aca="false">IF($P114="","",IF(AND(CapAtMax="Yes",$P114="Y"),MAX(0,MIN($X114,$K114-$E114)),$X114))</f>
        <v/>
      </c>
      <c r="Z114" s="41" t="str">
        <f aca="false">IF(OR($P114="",NOT(ISNUMBER($E114))),"",$E114+$Y114)</f>
        <v/>
      </c>
      <c r="AA114" s="42" t="str">
        <f aca="false">IF(AND(ISNUMBER(Z114),ISNUMBER(J114)),IF(J114&gt;0,Z114/J114,""),"")</f>
        <v/>
      </c>
      <c r="AB114" s="46" t="str">
        <f aca="false">IF($P114="","",TRIM(IF(AND($P114="Y",ISNUMBER(K114),ISNUMBER(Z114)),IF(Z114&gt;K114,"Above range max. ",""),"")&amp;IF(AND($P114="Y",ISNUMBER($X114),ISNUMBER($Y114)),IF($X114-$Y114&gt;0.005,"Capped at range max. ",""),"")&amp;IF(AND(AND(ISNUMBER($G114),$G114&gt;=0,$G114&lt;=1),$H114=""),"Override needs a reason. ","")&amp;IF(AND(AND(ISNUMBER($G114),$G114&gt;=0,$G114&lt;=1),$P114&lt;&gt;"Y"),"Override ignored. ","")&amp;IF(AND($G114&lt;&gt;"",NOT(AND(ISNUMBER($G114),$G114&gt;=0,$G114&lt;=1))),"Override not valid, ignored. ","")&amp;IF(AND($A114&lt;&gt;"",COUNTIF($A$5:$A$254,$A114)&gt;1),"Duplicate ID. ","")))</f>
        <v/>
      </c>
    </row>
    <row r="115" customFormat="false" ht="15" hidden="false" customHeight="false" outlineLevel="0" collapsed="false">
      <c r="A115" s="18"/>
      <c r="B115" s="38"/>
      <c r="C115" s="39"/>
      <c r="D115" s="38"/>
      <c r="E115" s="19"/>
      <c r="F115" s="38"/>
      <c r="G115" s="40"/>
      <c r="H115" s="18"/>
      <c r="I115" s="41" t="str">
        <f aca="false">IF(COUNTA($A115:$F115)=0,"",IF($B115="","",IFERROR(INDEX(Ranges!$B$5:$B$16,MATCH($B115,Ranges!$A$5:$A$16,0)),"")))</f>
        <v/>
      </c>
      <c r="J115" s="41" t="str">
        <f aca="false">IF(COUNTA($A115:$F115)=0,"",IF($B115="","",IFERROR(INDEX(Ranges!$C$5:$C$16,MATCH($B115,Ranges!$A$5:$A$16,0)),"")))</f>
        <v/>
      </c>
      <c r="K115" s="41" t="str">
        <f aca="false">IF(COUNTA($A115:$F115)=0,"",IF($B115="","",IFERROR(INDEX(Ranges!$D$5:$D$16,MATCH($B115,Ranges!$A$5:$A$16,0)),"")))</f>
        <v/>
      </c>
      <c r="L115" s="42" t="str">
        <f aca="false">IF(OR(NOT(ISNUMBER($E115)),NOT(ISNUMBER(J115))),"",IF(J115&gt;0,$E115/J115,""))</f>
        <v/>
      </c>
      <c r="M115" s="43" t="str">
        <f aca="false">IF(OR(NOT(ISNUMBER($E115)),NOT(ISNUMBER(I115)),NOT(ISNUMBER(K115))),"",IF(K115&gt;I115,($E115-I115)/(K115-I115),""))</f>
        <v/>
      </c>
      <c r="N115" s="42" t="str">
        <f aca="false">IF(Basis="Compa-ratio",L115,M115)</f>
        <v/>
      </c>
      <c r="O115" s="44" t="str">
        <f aca="false">IF(ISNUMBER(N115),IFERROR(MATCH(N115,Matrix!$C$9:$G$9,1),1),"")</f>
        <v/>
      </c>
      <c r="P115" s="45" t="str">
        <f aca="false">IF(COUNTA($A115:$F115)=0,"",IF(Q115="","Y","N"))</f>
        <v/>
      </c>
      <c r="Q115" s="46" t="str">
        <f aca="false">IF(COUNTA($A115:$F115)=0,"",IF($A115="","ID missing",IF(TRIM($F115)="Exclude","Excluded by plan status",IF(AND(TRIM($F115)&lt;&gt;"",TRIM($F115)&lt;&gt;"Include"),"Plan status not valid (use Include or Exclude)",IF(NOT(ISNUMBER($C115)),"Hire date missing or not a date",IF($C115&gt;Cutoff,"Hired after cutoff",IF(NOT(ISNUMBER($E115)),"Salary missing or not a number",IF($E115&lt;=0,"Salary missing or not a number",IF(OR(NOT(ISNUMBER(I115)),NOT(ISNUMBER(J115)),NOT(ISNUMBER(K115))),"Grade not found in Ranges",IF($D115="","Rating missing",IF($D115="NR","Not rated (NR)",IF(NOT(ISNUMBER(MATCH($D115,Matrix!$A$14:$A$18,0))),"Rating not valid (use 1 to 5 or NR)",IF(NOT(ISNUMBER(O115)),"Band not found (check range and limits)","")))))))))))))</f>
        <v/>
      </c>
      <c r="R115" s="47" t="str">
        <f aca="false">IF($P115="Y",INDEX(Matrix!$C$14:$G$18,MATCH($D115,Matrix!$A$14:$A$18,0),$O115),IF($P115="N",0,""))</f>
        <v/>
      </c>
      <c r="S115" s="47" t="str">
        <f aca="false">IF($P115="Y",IF(AND(ISNUMBER($G115),$G115&gt;=0,$G115&lt;=1),$G115,$R115),IF($P115="N",0,""))</f>
        <v/>
      </c>
      <c r="T115" s="48" t="str">
        <f aca="false">IF($P115&lt;&gt;"Y",IF($P115="N",0,""),IF(ProrateMethod="None",1,IF($C115&lt;=PeriodStart,1,IF(ProrateMethod="Daily",MAX(0,MIN(1,(PeriodEnd-$C115+1)/(PeriodEnd-PeriodStart+1))),MAX(0,MIN(1,((YEAR(PeriodEnd)-YEAR($C115))*12+MONTH(PeriodEnd)-MONTH($C115)+1-IF(DAY($C115)&gt;MonthCutDay,1,0))/PeriodMonths))))))</f>
        <v/>
      </c>
      <c r="U115" s="47" t="str">
        <f aca="false">IF($P115="","",$S115*$T115)</f>
        <v/>
      </c>
      <c r="V115" s="49" t="str">
        <f aca="false">IF($P115="","",IF(ISNUMBER($E115),$E115,0)*$R115)</f>
        <v/>
      </c>
      <c r="W115" s="49" t="str">
        <f aca="false">IF($P115="","",IF(ISNUMBER($E115),$E115,0)*$S115)</f>
        <v/>
      </c>
      <c r="X115" s="49" t="str">
        <f aca="false">IF($P115="","",IF(ISNUMBER($E115),$E115,0)*$U115)</f>
        <v/>
      </c>
      <c r="Y115" s="49" t="str">
        <f aca="false">IF($P115="","",IF(AND(CapAtMax="Yes",$P115="Y"),MAX(0,MIN($X115,$K115-$E115)),$X115))</f>
        <v/>
      </c>
      <c r="Z115" s="41" t="str">
        <f aca="false">IF(OR($P115="",NOT(ISNUMBER($E115))),"",$E115+$Y115)</f>
        <v/>
      </c>
      <c r="AA115" s="42" t="str">
        <f aca="false">IF(AND(ISNUMBER(Z115),ISNUMBER(J115)),IF(J115&gt;0,Z115/J115,""),"")</f>
        <v/>
      </c>
      <c r="AB115" s="46" t="str">
        <f aca="false">IF($P115="","",TRIM(IF(AND($P115="Y",ISNUMBER(K115),ISNUMBER(Z115)),IF(Z115&gt;K115,"Above range max. ",""),"")&amp;IF(AND($P115="Y",ISNUMBER($X115),ISNUMBER($Y115)),IF($X115-$Y115&gt;0.005,"Capped at range max. ",""),"")&amp;IF(AND(AND(ISNUMBER($G115),$G115&gt;=0,$G115&lt;=1),$H115=""),"Override needs a reason. ","")&amp;IF(AND(AND(ISNUMBER($G115),$G115&gt;=0,$G115&lt;=1),$P115&lt;&gt;"Y"),"Override ignored. ","")&amp;IF(AND($G115&lt;&gt;"",NOT(AND(ISNUMBER($G115),$G115&gt;=0,$G115&lt;=1))),"Override not valid, ignored. ","")&amp;IF(AND($A115&lt;&gt;"",COUNTIF($A$5:$A$254,$A115)&gt;1),"Duplicate ID. ","")))</f>
        <v/>
      </c>
    </row>
    <row r="116" customFormat="false" ht="15" hidden="false" customHeight="false" outlineLevel="0" collapsed="false">
      <c r="A116" s="18"/>
      <c r="B116" s="38"/>
      <c r="C116" s="39"/>
      <c r="D116" s="38"/>
      <c r="E116" s="19"/>
      <c r="F116" s="38"/>
      <c r="G116" s="40"/>
      <c r="H116" s="18"/>
      <c r="I116" s="41" t="str">
        <f aca="false">IF(COUNTA($A116:$F116)=0,"",IF($B116="","",IFERROR(INDEX(Ranges!$B$5:$B$16,MATCH($B116,Ranges!$A$5:$A$16,0)),"")))</f>
        <v/>
      </c>
      <c r="J116" s="41" t="str">
        <f aca="false">IF(COUNTA($A116:$F116)=0,"",IF($B116="","",IFERROR(INDEX(Ranges!$C$5:$C$16,MATCH($B116,Ranges!$A$5:$A$16,0)),"")))</f>
        <v/>
      </c>
      <c r="K116" s="41" t="str">
        <f aca="false">IF(COUNTA($A116:$F116)=0,"",IF($B116="","",IFERROR(INDEX(Ranges!$D$5:$D$16,MATCH($B116,Ranges!$A$5:$A$16,0)),"")))</f>
        <v/>
      </c>
      <c r="L116" s="42" t="str">
        <f aca="false">IF(OR(NOT(ISNUMBER($E116)),NOT(ISNUMBER(J116))),"",IF(J116&gt;0,$E116/J116,""))</f>
        <v/>
      </c>
      <c r="M116" s="43" t="str">
        <f aca="false">IF(OR(NOT(ISNUMBER($E116)),NOT(ISNUMBER(I116)),NOT(ISNUMBER(K116))),"",IF(K116&gt;I116,($E116-I116)/(K116-I116),""))</f>
        <v/>
      </c>
      <c r="N116" s="42" t="str">
        <f aca="false">IF(Basis="Compa-ratio",L116,M116)</f>
        <v/>
      </c>
      <c r="O116" s="44" t="str">
        <f aca="false">IF(ISNUMBER(N116),IFERROR(MATCH(N116,Matrix!$C$9:$G$9,1),1),"")</f>
        <v/>
      </c>
      <c r="P116" s="45" t="str">
        <f aca="false">IF(COUNTA($A116:$F116)=0,"",IF(Q116="","Y","N"))</f>
        <v/>
      </c>
      <c r="Q116" s="46" t="str">
        <f aca="false">IF(COUNTA($A116:$F116)=0,"",IF($A116="","ID missing",IF(TRIM($F116)="Exclude","Excluded by plan status",IF(AND(TRIM($F116)&lt;&gt;"",TRIM($F116)&lt;&gt;"Include"),"Plan status not valid (use Include or Exclude)",IF(NOT(ISNUMBER($C116)),"Hire date missing or not a date",IF($C116&gt;Cutoff,"Hired after cutoff",IF(NOT(ISNUMBER($E116)),"Salary missing or not a number",IF($E116&lt;=0,"Salary missing or not a number",IF(OR(NOT(ISNUMBER(I116)),NOT(ISNUMBER(J116)),NOT(ISNUMBER(K116))),"Grade not found in Ranges",IF($D116="","Rating missing",IF($D116="NR","Not rated (NR)",IF(NOT(ISNUMBER(MATCH($D116,Matrix!$A$14:$A$18,0))),"Rating not valid (use 1 to 5 or NR)",IF(NOT(ISNUMBER(O116)),"Band not found (check range and limits)","")))))))))))))</f>
        <v/>
      </c>
      <c r="R116" s="47" t="str">
        <f aca="false">IF($P116="Y",INDEX(Matrix!$C$14:$G$18,MATCH($D116,Matrix!$A$14:$A$18,0),$O116),IF($P116="N",0,""))</f>
        <v/>
      </c>
      <c r="S116" s="47" t="str">
        <f aca="false">IF($P116="Y",IF(AND(ISNUMBER($G116),$G116&gt;=0,$G116&lt;=1),$G116,$R116),IF($P116="N",0,""))</f>
        <v/>
      </c>
      <c r="T116" s="48" t="str">
        <f aca="false">IF($P116&lt;&gt;"Y",IF($P116="N",0,""),IF(ProrateMethod="None",1,IF($C116&lt;=PeriodStart,1,IF(ProrateMethod="Daily",MAX(0,MIN(1,(PeriodEnd-$C116+1)/(PeriodEnd-PeriodStart+1))),MAX(0,MIN(1,((YEAR(PeriodEnd)-YEAR($C116))*12+MONTH(PeriodEnd)-MONTH($C116)+1-IF(DAY($C116)&gt;MonthCutDay,1,0))/PeriodMonths))))))</f>
        <v/>
      </c>
      <c r="U116" s="47" t="str">
        <f aca="false">IF($P116="","",$S116*$T116)</f>
        <v/>
      </c>
      <c r="V116" s="49" t="str">
        <f aca="false">IF($P116="","",IF(ISNUMBER($E116),$E116,0)*$R116)</f>
        <v/>
      </c>
      <c r="W116" s="49" t="str">
        <f aca="false">IF($P116="","",IF(ISNUMBER($E116),$E116,0)*$S116)</f>
        <v/>
      </c>
      <c r="X116" s="49" t="str">
        <f aca="false">IF($P116="","",IF(ISNUMBER($E116),$E116,0)*$U116)</f>
        <v/>
      </c>
      <c r="Y116" s="49" t="str">
        <f aca="false">IF($P116="","",IF(AND(CapAtMax="Yes",$P116="Y"),MAX(0,MIN($X116,$K116-$E116)),$X116))</f>
        <v/>
      </c>
      <c r="Z116" s="41" t="str">
        <f aca="false">IF(OR($P116="",NOT(ISNUMBER($E116))),"",$E116+$Y116)</f>
        <v/>
      </c>
      <c r="AA116" s="42" t="str">
        <f aca="false">IF(AND(ISNUMBER(Z116),ISNUMBER(J116)),IF(J116&gt;0,Z116/J116,""),"")</f>
        <v/>
      </c>
      <c r="AB116" s="46" t="str">
        <f aca="false">IF($P116="","",TRIM(IF(AND($P116="Y",ISNUMBER(K116),ISNUMBER(Z116)),IF(Z116&gt;K116,"Above range max. ",""),"")&amp;IF(AND($P116="Y",ISNUMBER($X116),ISNUMBER($Y116)),IF($X116-$Y116&gt;0.005,"Capped at range max. ",""),"")&amp;IF(AND(AND(ISNUMBER($G116),$G116&gt;=0,$G116&lt;=1),$H116=""),"Override needs a reason. ","")&amp;IF(AND(AND(ISNUMBER($G116),$G116&gt;=0,$G116&lt;=1),$P116&lt;&gt;"Y"),"Override ignored. ","")&amp;IF(AND($G116&lt;&gt;"",NOT(AND(ISNUMBER($G116),$G116&gt;=0,$G116&lt;=1))),"Override not valid, ignored. ","")&amp;IF(AND($A116&lt;&gt;"",COUNTIF($A$5:$A$254,$A116)&gt;1),"Duplicate ID. ","")))</f>
        <v/>
      </c>
    </row>
    <row r="117" customFormat="false" ht="15" hidden="false" customHeight="false" outlineLevel="0" collapsed="false">
      <c r="A117" s="18"/>
      <c r="B117" s="38"/>
      <c r="C117" s="39"/>
      <c r="D117" s="38"/>
      <c r="E117" s="19"/>
      <c r="F117" s="38"/>
      <c r="G117" s="40"/>
      <c r="H117" s="18"/>
      <c r="I117" s="41" t="str">
        <f aca="false">IF(COUNTA($A117:$F117)=0,"",IF($B117="","",IFERROR(INDEX(Ranges!$B$5:$B$16,MATCH($B117,Ranges!$A$5:$A$16,0)),"")))</f>
        <v/>
      </c>
      <c r="J117" s="41" t="str">
        <f aca="false">IF(COUNTA($A117:$F117)=0,"",IF($B117="","",IFERROR(INDEX(Ranges!$C$5:$C$16,MATCH($B117,Ranges!$A$5:$A$16,0)),"")))</f>
        <v/>
      </c>
      <c r="K117" s="41" t="str">
        <f aca="false">IF(COUNTA($A117:$F117)=0,"",IF($B117="","",IFERROR(INDEX(Ranges!$D$5:$D$16,MATCH($B117,Ranges!$A$5:$A$16,0)),"")))</f>
        <v/>
      </c>
      <c r="L117" s="42" t="str">
        <f aca="false">IF(OR(NOT(ISNUMBER($E117)),NOT(ISNUMBER(J117))),"",IF(J117&gt;0,$E117/J117,""))</f>
        <v/>
      </c>
      <c r="M117" s="43" t="str">
        <f aca="false">IF(OR(NOT(ISNUMBER($E117)),NOT(ISNUMBER(I117)),NOT(ISNUMBER(K117))),"",IF(K117&gt;I117,($E117-I117)/(K117-I117),""))</f>
        <v/>
      </c>
      <c r="N117" s="42" t="str">
        <f aca="false">IF(Basis="Compa-ratio",L117,M117)</f>
        <v/>
      </c>
      <c r="O117" s="44" t="str">
        <f aca="false">IF(ISNUMBER(N117),IFERROR(MATCH(N117,Matrix!$C$9:$G$9,1),1),"")</f>
        <v/>
      </c>
      <c r="P117" s="45" t="str">
        <f aca="false">IF(COUNTA($A117:$F117)=0,"",IF(Q117="","Y","N"))</f>
        <v/>
      </c>
      <c r="Q117" s="46" t="str">
        <f aca="false">IF(COUNTA($A117:$F117)=0,"",IF($A117="","ID missing",IF(TRIM($F117)="Exclude","Excluded by plan status",IF(AND(TRIM($F117)&lt;&gt;"",TRIM($F117)&lt;&gt;"Include"),"Plan status not valid (use Include or Exclude)",IF(NOT(ISNUMBER($C117)),"Hire date missing or not a date",IF($C117&gt;Cutoff,"Hired after cutoff",IF(NOT(ISNUMBER($E117)),"Salary missing or not a number",IF($E117&lt;=0,"Salary missing or not a number",IF(OR(NOT(ISNUMBER(I117)),NOT(ISNUMBER(J117)),NOT(ISNUMBER(K117))),"Grade not found in Ranges",IF($D117="","Rating missing",IF($D117="NR","Not rated (NR)",IF(NOT(ISNUMBER(MATCH($D117,Matrix!$A$14:$A$18,0))),"Rating not valid (use 1 to 5 or NR)",IF(NOT(ISNUMBER(O117)),"Band not found (check range and limits)","")))))))))))))</f>
        <v/>
      </c>
      <c r="R117" s="47" t="str">
        <f aca="false">IF($P117="Y",INDEX(Matrix!$C$14:$G$18,MATCH($D117,Matrix!$A$14:$A$18,0),$O117),IF($P117="N",0,""))</f>
        <v/>
      </c>
      <c r="S117" s="47" t="str">
        <f aca="false">IF($P117="Y",IF(AND(ISNUMBER($G117),$G117&gt;=0,$G117&lt;=1),$G117,$R117),IF($P117="N",0,""))</f>
        <v/>
      </c>
      <c r="T117" s="48" t="str">
        <f aca="false">IF($P117&lt;&gt;"Y",IF($P117="N",0,""),IF(ProrateMethod="None",1,IF($C117&lt;=PeriodStart,1,IF(ProrateMethod="Daily",MAX(0,MIN(1,(PeriodEnd-$C117+1)/(PeriodEnd-PeriodStart+1))),MAX(0,MIN(1,((YEAR(PeriodEnd)-YEAR($C117))*12+MONTH(PeriodEnd)-MONTH($C117)+1-IF(DAY($C117)&gt;MonthCutDay,1,0))/PeriodMonths))))))</f>
        <v/>
      </c>
      <c r="U117" s="47" t="str">
        <f aca="false">IF($P117="","",$S117*$T117)</f>
        <v/>
      </c>
      <c r="V117" s="49" t="str">
        <f aca="false">IF($P117="","",IF(ISNUMBER($E117),$E117,0)*$R117)</f>
        <v/>
      </c>
      <c r="W117" s="49" t="str">
        <f aca="false">IF($P117="","",IF(ISNUMBER($E117),$E117,0)*$S117)</f>
        <v/>
      </c>
      <c r="X117" s="49" t="str">
        <f aca="false">IF($P117="","",IF(ISNUMBER($E117),$E117,0)*$U117)</f>
        <v/>
      </c>
      <c r="Y117" s="49" t="str">
        <f aca="false">IF($P117="","",IF(AND(CapAtMax="Yes",$P117="Y"),MAX(0,MIN($X117,$K117-$E117)),$X117))</f>
        <v/>
      </c>
      <c r="Z117" s="41" t="str">
        <f aca="false">IF(OR($P117="",NOT(ISNUMBER($E117))),"",$E117+$Y117)</f>
        <v/>
      </c>
      <c r="AA117" s="42" t="str">
        <f aca="false">IF(AND(ISNUMBER(Z117),ISNUMBER(J117)),IF(J117&gt;0,Z117/J117,""),"")</f>
        <v/>
      </c>
      <c r="AB117" s="46" t="str">
        <f aca="false">IF($P117="","",TRIM(IF(AND($P117="Y",ISNUMBER(K117),ISNUMBER(Z117)),IF(Z117&gt;K117,"Above range max. ",""),"")&amp;IF(AND($P117="Y",ISNUMBER($X117),ISNUMBER($Y117)),IF($X117-$Y117&gt;0.005,"Capped at range max. ",""),"")&amp;IF(AND(AND(ISNUMBER($G117),$G117&gt;=0,$G117&lt;=1),$H117=""),"Override needs a reason. ","")&amp;IF(AND(AND(ISNUMBER($G117),$G117&gt;=0,$G117&lt;=1),$P117&lt;&gt;"Y"),"Override ignored. ","")&amp;IF(AND($G117&lt;&gt;"",NOT(AND(ISNUMBER($G117),$G117&gt;=0,$G117&lt;=1))),"Override not valid, ignored. ","")&amp;IF(AND($A117&lt;&gt;"",COUNTIF($A$5:$A$254,$A117)&gt;1),"Duplicate ID. ","")))</f>
        <v/>
      </c>
    </row>
    <row r="118" customFormat="false" ht="15" hidden="false" customHeight="false" outlineLevel="0" collapsed="false">
      <c r="A118" s="18"/>
      <c r="B118" s="38"/>
      <c r="C118" s="39"/>
      <c r="D118" s="38"/>
      <c r="E118" s="19"/>
      <c r="F118" s="38"/>
      <c r="G118" s="40"/>
      <c r="H118" s="18"/>
      <c r="I118" s="41" t="str">
        <f aca="false">IF(COUNTA($A118:$F118)=0,"",IF($B118="","",IFERROR(INDEX(Ranges!$B$5:$B$16,MATCH($B118,Ranges!$A$5:$A$16,0)),"")))</f>
        <v/>
      </c>
      <c r="J118" s="41" t="str">
        <f aca="false">IF(COUNTA($A118:$F118)=0,"",IF($B118="","",IFERROR(INDEX(Ranges!$C$5:$C$16,MATCH($B118,Ranges!$A$5:$A$16,0)),"")))</f>
        <v/>
      </c>
      <c r="K118" s="41" t="str">
        <f aca="false">IF(COUNTA($A118:$F118)=0,"",IF($B118="","",IFERROR(INDEX(Ranges!$D$5:$D$16,MATCH($B118,Ranges!$A$5:$A$16,0)),"")))</f>
        <v/>
      </c>
      <c r="L118" s="42" t="str">
        <f aca="false">IF(OR(NOT(ISNUMBER($E118)),NOT(ISNUMBER(J118))),"",IF(J118&gt;0,$E118/J118,""))</f>
        <v/>
      </c>
      <c r="M118" s="43" t="str">
        <f aca="false">IF(OR(NOT(ISNUMBER($E118)),NOT(ISNUMBER(I118)),NOT(ISNUMBER(K118))),"",IF(K118&gt;I118,($E118-I118)/(K118-I118),""))</f>
        <v/>
      </c>
      <c r="N118" s="42" t="str">
        <f aca="false">IF(Basis="Compa-ratio",L118,M118)</f>
        <v/>
      </c>
      <c r="O118" s="44" t="str">
        <f aca="false">IF(ISNUMBER(N118),IFERROR(MATCH(N118,Matrix!$C$9:$G$9,1),1),"")</f>
        <v/>
      </c>
      <c r="P118" s="45" t="str">
        <f aca="false">IF(COUNTA($A118:$F118)=0,"",IF(Q118="","Y","N"))</f>
        <v/>
      </c>
      <c r="Q118" s="46" t="str">
        <f aca="false">IF(COUNTA($A118:$F118)=0,"",IF($A118="","ID missing",IF(TRIM($F118)="Exclude","Excluded by plan status",IF(AND(TRIM($F118)&lt;&gt;"",TRIM($F118)&lt;&gt;"Include"),"Plan status not valid (use Include or Exclude)",IF(NOT(ISNUMBER($C118)),"Hire date missing or not a date",IF($C118&gt;Cutoff,"Hired after cutoff",IF(NOT(ISNUMBER($E118)),"Salary missing or not a number",IF($E118&lt;=0,"Salary missing or not a number",IF(OR(NOT(ISNUMBER(I118)),NOT(ISNUMBER(J118)),NOT(ISNUMBER(K118))),"Grade not found in Ranges",IF($D118="","Rating missing",IF($D118="NR","Not rated (NR)",IF(NOT(ISNUMBER(MATCH($D118,Matrix!$A$14:$A$18,0))),"Rating not valid (use 1 to 5 or NR)",IF(NOT(ISNUMBER(O118)),"Band not found (check range and limits)","")))))))))))))</f>
        <v/>
      </c>
      <c r="R118" s="47" t="str">
        <f aca="false">IF($P118="Y",INDEX(Matrix!$C$14:$G$18,MATCH($D118,Matrix!$A$14:$A$18,0),$O118),IF($P118="N",0,""))</f>
        <v/>
      </c>
      <c r="S118" s="47" t="str">
        <f aca="false">IF($P118="Y",IF(AND(ISNUMBER($G118),$G118&gt;=0,$G118&lt;=1),$G118,$R118),IF($P118="N",0,""))</f>
        <v/>
      </c>
      <c r="T118" s="48" t="str">
        <f aca="false">IF($P118&lt;&gt;"Y",IF($P118="N",0,""),IF(ProrateMethod="None",1,IF($C118&lt;=PeriodStart,1,IF(ProrateMethod="Daily",MAX(0,MIN(1,(PeriodEnd-$C118+1)/(PeriodEnd-PeriodStart+1))),MAX(0,MIN(1,((YEAR(PeriodEnd)-YEAR($C118))*12+MONTH(PeriodEnd)-MONTH($C118)+1-IF(DAY($C118)&gt;MonthCutDay,1,0))/PeriodMonths))))))</f>
        <v/>
      </c>
      <c r="U118" s="47" t="str">
        <f aca="false">IF($P118="","",$S118*$T118)</f>
        <v/>
      </c>
      <c r="V118" s="49" t="str">
        <f aca="false">IF($P118="","",IF(ISNUMBER($E118),$E118,0)*$R118)</f>
        <v/>
      </c>
      <c r="W118" s="49" t="str">
        <f aca="false">IF($P118="","",IF(ISNUMBER($E118),$E118,0)*$S118)</f>
        <v/>
      </c>
      <c r="X118" s="49" t="str">
        <f aca="false">IF($P118="","",IF(ISNUMBER($E118),$E118,0)*$U118)</f>
        <v/>
      </c>
      <c r="Y118" s="49" t="str">
        <f aca="false">IF($P118="","",IF(AND(CapAtMax="Yes",$P118="Y"),MAX(0,MIN($X118,$K118-$E118)),$X118))</f>
        <v/>
      </c>
      <c r="Z118" s="41" t="str">
        <f aca="false">IF(OR($P118="",NOT(ISNUMBER($E118))),"",$E118+$Y118)</f>
        <v/>
      </c>
      <c r="AA118" s="42" t="str">
        <f aca="false">IF(AND(ISNUMBER(Z118),ISNUMBER(J118)),IF(J118&gt;0,Z118/J118,""),"")</f>
        <v/>
      </c>
      <c r="AB118" s="46" t="str">
        <f aca="false">IF($P118="","",TRIM(IF(AND($P118="Y",ISNUMBER(K118),ISNUMBER(Z118)),IF(Z118&gt;K118,"Above range max. ",""),"")&amp;IF(AND($P118="Y",ISNUMBER($X118),ISNUMBER($Y118)),IF($X118-$Y118&gt;0.005,"Capped at range max. ",""),"")&amp;IF(AND(AND(ISNUMBER($G118),$G118&gt;=0,$G118&lt;=1),$H118=""),"Override needs a reason. ","")&amp;IF(AND(AND(ISNUMBER($G118),$G118&gt;=0,$G118&lt;=1),$P118&lt;&gt;"Y"),"Override ignored. ","")&amp;IF(AND($G118&lt;&gt;"",NOT(AND(ISNUMBER($G118),$G118&gt;=0,$G118&lt;=1))),"Override not valid, ignored. ","")&amp;IF(AND($A118&lt;&gt;"",COUNTIF($A$5:$A$254,$A118)&gt;1),"Duplicate ID. ","")))</f>
        <v/>
      </c>
    </row>
    <row r="119" customFormat="false" ht="15" hidden="false" customHeight="false" outlineLevel="0" collapsed="false">
      <c r="A119" s="18"/>
      <c r="B119" s="38"/>
      <c r="C119" s="39"/>
      <c r="D119" s="38"/>
      <c r="E119" s="19"/>
      <c r="F119" s="38"/>
      <c r="G119" s="40"/>
      <c r="H119" s="18"/>
      <c r="I119" s="41" t="str">
        <f aca="false">IF(COUNTA($A119:$F119)=0,"",IF($B119="","",IFERROR(INDEX(Ranges!$B$5:$B$16,MATCH($B119,Ranges!$A$5:$A$16,0)),"")))</f>
        <v/>
      </c>
      <c r="J119" s="41" t="str">
        <f aca="false">IF(COUNTA($A119:$F119)=0,"",IF($B119="","",IFERROR(INDEX(Ranges!$C$5:$C$16,MATCH($B119,Ranges!$A$5:$A$16,0)),"")))</f>
        <v/>
      </c>
      <c r="K119" s="41" t="str">
        <f aca="false">IF(COUNTA($A119:$F119)=0,"",IF($B119="","",IFERROR(INDEX(Ranges!$D$5:$D$16,MATCH($B119,Ranges!$A$5:$A$16,0)),"")))</f>
        <v/>
      </c>
      <c r="L119" s="42" t="str">
        <f aca="false">IF(OR(NOT(ISNUMBER($E119)),NOT(ISNUMBER(J119))),"",IF(J119&gt;0,$E119/J119,""))</f>
        <v/>
      </c>
      <c r="M119" s="43" t="str">
        <f aca="false">IF(OR(NOT(ISNUMBER($E119)),NOT(ISNUMBER(I119)),NOT(ISNUMBER(K119))),"",IF(K119&gt;I119,($E119-I119)/(K119-I119),""))</f>
        <v/>
      </c>
      <c r="N119" s="42" t="str">
        <f aca="false">IF(Basis="Compa-ratio",L119,M119)</f>
        <v/>
      </c>
      <c r="O119" s="44" t="str">
        <f aca="false">IF(ISNUMBER(N119),IFERROR(MATCH(N119,Matrix!$C$9:$G$9,1),1),"")</f>
        <v/>
      </c>
      <c r="P119" s="45" t="str">
        <f aca="false">IF(COUNTA($A119:$F119)=0,"",IF(Q119="","Y","N"))</f>
        <v/>
      </c>
      <c r="Q119" s="46" t="str">
        <f aca="false">IF(COUNTA($A119:$F119)=0,"",IF($A119="","ID missing",IF(TRIM($F119)="Exclude","Excluded by plan status",IF(AND(TRIM($F119)&lt;&gt;"",TRIM($F119)&lt;&gt;"Include"),"Plan status not valid (use Include or Exclude)",IF(NOT(ISNUMBER($C119)),"Hire date missing or not a date",IF($C119&gt;Cutoff,"Hired after cutoff",IF(NOT(ISNUMBER($E119)),"Salary missing or not a number",IF($E119&lt;=0,"Salary missing or not a number",IF(OR(NOT(ISNUMBER(I119)),NOT(ISNUMBER(J119)),NOT(ISNUMBER(K119))),"Grade not found in Ranges",IF($D119="","Rating missing",IF($D119="NR","Not rated (NR)",IF(NOT(ISNUMBER(MATCH($D119,Matrix!$A$14:$A$18,0))),"Rating not valid (use 1 to 5 or NR)",IF(NOT(ISNUMBER(O119)),"Band not found (check range and limits)","")))))))))))))</f>
        <v/>
      </c>
      <c r="R119" s="47" t="str">
        <f aca="false">IF($P119="Y",INDEX(Matrix!$C$14:$G$18,MATCH($D119,Matrix!$A$14:$A$18,0),$O119),IF($P119="N",0,""))</f>
        <v/>
      </c>
      <c r="S119" s="47" t="str">
        <f aca="false">IF($P119="Y",IF(AND(ISNUMBER($G119),$G119&gt;=0,$G119&lt;=1),$G119,$R119),IF($P119="N",0,""))</f>
        <v/>
      </c>
      <c r="T119" s="48" t="str">
        <f aca="false">IF($P119&lt;&gt;"Y",IF($P119="N",0,""),IF(ProrateMethod="None",1,IF($C119&lt;=PeriodStart,1,IF(ProrateMethod="Daily",MAX(0,MIN(1,(PeriodEnd-$C119+1)/(PeriodEnd-PeriodStart+1))),MAX(0,MIN(1,((YEAR(PeriodEnd)-YEAR($C119))*12+MONTH(PeriodEnd)-MONTH($C119)+1-IF(DAY($C119)&gt;MonthCutDay,1,0))/PeriodMonths))))))</f>
        <v/>
      </c>
      <c r="U119" s="47" t="str">
        <f aca="false">IF($P119="","",$S119*$T119)</f>
        <v/>
      </c>
      <c r="V119" s="49" t="str">
        <f aca="false">IF($P119="","",IF(ISNUMBER($E119),$E119,0)*$R119)</f>
        <v/>
      </c>
      <c r="W119" s="49" t="str">
        <f aca="false">IF($P119="","",IF(ISNUMBER($E119),$E119,0)*$S119)</f>
        <v/>
      </c>
      <c r="X119" s="49" t="str">
        <f aca="false">IF($P119="","",IF(ISNUMBER($E119),$E119,0)*$U119)</f>
        <v/>
      </c>
      <c r="Y119" s="49" t="str">
        <f aca="false">IF($P119="","",IF(AND(CapAtMax="Yes",$P119="Y"),MAX(0,MIN($X119,$K119-$E119)),$X119))</f>
        <v/>
      </c>
      <c r="Z119" s="41" t="str">
        <f aca="false">IF(OR($P119="",NOT(ISNUMBER($E119))),"",$E119+$Y119)</f>
        <v/>
      </c>
      <c r="AA119" s="42" t="str">
        <f aca="false">IF(AND(ISNUMBER(Z119),ISNUMBER(J119)),IF(J119&gt;0,Z119/J119,""),"")</f>
        <v/>
      </c>
      <c r="AB119" s="46" t="str">
        <f aca="false">IF($P119="","",TRIM(IF(AND($P119="Y",ISNUMBER(K119),ISNUMBER(Z119)),IF(Z119&gt;K119,"Above range max. ",""),"")&amp;IF(AND($P119="Y",ISNUMBER($X119),ISNUMBER($Y119)),IF($X119-$Y119&gt;0.005,"Capped at range max. ",""),"")&amp;IF(AND(AND(ISNUMBER($G119),$G119&gt;=0,$G119&lt;=1),$H119=""),"Override needs a reason. ","")&amp;IF(AND(AND(ISNUMBER($G119),$G119&gt;=0,$G119&lt;=1),$P119&lt;&gt;"Y"),"Override ignored. ","")&amp;IF(AND($G119&lt;&gt;"",NOT(AND(ISNUMBER($G119),$G119&gt;=0,$G119&lt;=1))),"Override not valid, ignored. ","")&amp;IF(AND($A119&lt;&gt;"",COUNTIF($A$5:$A$254,$A119)&gt;1),"Duplicate ID. ","")))</f>
        <v/>
      </c>
    </row>
    <row r="120" customFormat="false" ht="15" hidden="false" customHeight="false" outlineLevel="0" collapsed="false">
      <c r="A120" s="18"/>
      <c r="B120" s="38"/>
      <c r="C120" s="39"/>
      <c r="D120" s="38"/>
      <c r="E120" s="19"/>
      <c r="F120" s="38"/>
      <c r="G120" s="40"/>
      <c r="H120" s="18"/>
      <c r="I120" s="41" t="str">
        <f aca="false">IF(COUNTA($A120:$F120)=0,"",IF($B120="","",IFERROR(INDEX(Ranges!$B$5:$B$16,MATCH($B120,Ranges!$A$5:$A$16,0)),"")))</f>
        <v/>
      </c>
      <c r="J120" s="41" t="str">
        <f aca="false">IF(COUNTA($A120:$F120)=0,"",IF($B120="","",IFERROR(INDEX(Ranges!$C$5:$C$16,MATCH($B120,Ranges!$A$5:$A$16,0)),"")))</f>
        <v/>
      </c>
      <c r="K120" s="41" t="str">
        <f aca="false">IF(COUNTA($A120:$F120)=0,"",IF($B120="","",IFERROR(INDEX(Ranges!$D$5:$D$16,MATCH($B120,Ranges!$A$5:$A$16,0)),"")))</f>
        <v/>
      </c>
      <c r="L120" s="42" t="str">
        <f aca="false">IF(OR(NOT(ISNUMBER($E120)),NOT(ISNUMBER(J120))),"",IF(J120&gt;0,$E120/J120,""))</f>
        <v/>
      </c>
      <c r="M120" s="43" t="str">
        <f aca="false">IF(OR(NOT(ISNUMBER($E120)),NOT(ISNUMBER(I120)),NOT(ISNUMBER(K120))),"",IF(K120&gt;I120,($E120-I120)/(K120-I120),""))</f>
        <v/>
      </c>
      <c r="N120" s="42" t="str">
        <f aca="false">IF(Basis="Compa-ratio",L120,M120)</f>
        <v/>
      </c>
      <c r="O120" s="44" t="str">
        <f aca="false">IF(ISNUMBER(N120),IFERROR(MATCH(N120,Matrix!$C$9:$G$9,1),1),"")</f>
        <v/>
      </c>
      <c r="P120" s="45" t="str">
        <f aca="false">IF(COUNTA($A120:$F120)=0,"",IF(Q120="","Y","N"))</f>
        <v/>
      </c>
      <c r="Q120" s="46" t="str">
        <f aca="false">IF(COUNTA($A120:$F120)=0,"",IF($A120="","ID missing",IF(TRIM($F120)="Exclude","Excluded by plan status",IF(AND(TRIM($F120)&lt;&gt;"",TRIM($F120)&lt;&gt;"Include"),"Plan status not valid (use Include or Exclude)",IF(NOT(ISNUMBER($C120)),"Hire date missing or not a date",IF($C120&gt;Cutoff,"Hired after cutoff",IF(NOT(ISNUMBER($E120)),"Salary missing or not a number",IF($E120&lt;=0,"Salary missing or not a number",IF(OR(NOT(ISNUMBER(I120)),NOT(ISNUMBER(J120)),NOT(ISNUMBER(K120))),"Grade not found in Ranges",IF($D120="","Rating missing",IF($D120="NR","Not rated (NR)",IF(NOT(ISNUMBER(MATCH($D120,Matrix!$A$14:$A$18,0))),"Rating not valid (use 1 to 5 or NR)",IF(NOT(ISNUMBER(O120)),"Band not found (check range and limits)","")))))))))))))</f>
        <v/>
      </c>
      <c r="R120" s="47" t="str">
        <f aca="false">IF($P120="Y",INDEX(Matrix!$C$14:$G$18,MATCH($D120,Matrix!$A$14:$A$18,0),$O120),IF($P120="N",0,""))</f>
        <v/>
      </c>
      <c r="S120" s="47" t="str">
        <f aca="false">IF($P120="Y",IF(AND(ISNUMBER($G120),$G120&gt;=0,$G120&lt;=1),$G120,$R120),IF($P120="N",0,""))</f>
        <v/>
      </c>
      <c r="T120" s="48" t="str">
        <f aca="false">IF($P120&lt;&gt;"Y",IF($P120="N",0,""),IF(ProrateMethod="None",1,IF($C120&lt;=PeriodStart,1,IF(ProrateMethod="Daily",MAX(0,MIN(1,(PeriodEnd-$C120+1)/(PeriodEnd-PeriodStart+1))),MAX(0,MIN(1,((YEAR(PeriodEnd)-YEAR($C120))*12+MONTH(PeriodEnd)-MONTH($C120)+1-IF(DAY($C120)&gt;MonthCutDay,1,0))/PeriodMonths))))))</f>
        <v/>
      </c>
      <c r="U120" s="47" t="str">
        <f aca="false">IF($P120="","",$S120*$T120)</f>
        <v/>
      </c>
      <c r="V120" s="49" t="str">
        <f aca="false">IF($P120="","",IF(ISNUMBER($E120),$E120,0)*$R120)</f>
        <v/>
      </c>
      <c r="W120" s="49" t="str">
        <f aca="false">IF($P120="","",IF(ISNUMBER($E120),$E120,0)*$S120)</f>
        <v/>
      </c>
      <c r="X120" s="49" t="str">
        <f aca="false">IF($P120="","",IF(ISNUMBER($E120),$E120,0)*$U120)</f>
        <v/>
      </c>
      <c r="Y120" s="49" t="str">
        <f aca="false">IF($P120="","",IF(AND(CapAtMax="Yes",$P120="Y"),MAX(0,MIN($X120,$K120-$E120)),$X120))</f>
        <v/>
      </c>
      <c r="Z120" s="41" t="str">
        <f aca="false">IF(OR($P120="",NOT(ISNUMBER($E120))),"",$E120+$Y120)</f>
        <v/>
      </c>
      <c r="AA120" s="42" t="str">
        <f aca="false">IF(AND(ISNUMBER(Z120),ISNUMBER(J120)),IF(J120&gt;0,Z120/J120,""),"")</f>
        <v/>
      </c>
      <c r="AB120" s="46" t="str">
        <f aca="false">IF($P120="","",TRIM(IF(AND($P120="Y",ISNUMBER(K120),ISNUMBER(Z120)),IF(Z120&gt;K120,"Above range max. ",""),"")&amp;IF(AND($P120="Y",ISNUMBER($X120),ISNUMBER($Y120)),IF($X120-$Y120&gt;0.005,"Capped at range max. ",""),"")&amp;IF(AND(AND(ISNUMBER($G120),$G120&gt;=0,$G120&lt;=1),$H120=""),"Override needs a reason. ","")&amp;IF(AND(AND(ISNUMBER($G120),$G120&gt;=0,$G120&lt;=1),$P120&lt;&gt;"Y"),"Override ignored. ","")&amp;IF(AND($G120&lt;&gt;"",NOT(AND(ISNUMBER($G120),$G120&gt;=0,$G120&lt;=1))),"Override not valid, ignored. ","")&amp;IF(AND($A120&lt;&gt;"",COUNTIF($A$5:$A$254,$A120)&gt;1),"Duplicate ID. ","")))</f>
        <v/>
      </c>
    </row>
    <row r="121" customFormat="false" ht="15" hidden="false" customHeight="false" outlineLevel="0" collapsed="false">
      <c r="A121" s="18"/>
      <c r="B121" s="38"/>
      <c r="C121" s="39"/>
      <c r="D121" s="38"/>
      <c r="E121" s="19"/>
      <c r="F121" s="38"/>
      <c r="G121" s="40"/>
      <c r="H121" s="18"/>
      <c r="I121" s="41" t="str">
        <f aca="false">IF(COUNTA($A121:$F121)=0,"",IF($B121="","",IFERROR(INDEX(Ranges!$B$5:$B$16,MATCH($B121,Ranges!$A$5:$A$16,0)),"")))</f>
        <v/>
      </c>
      <c r="J121" s="41" t="str">
        <f aca="false">IF(COUNTA($A121:$F121)=0,"",IF($B121="","",IFERROR(INDEX(Ranges!$C$5:$C$16,MATCH($B121,Ranges!$A$5:$A$16,0)),"")))</f>
        <v/>
      </c>
      <c r="K121" s="41" t="str">
        <f aca="false">IF(COUNTA($A121:$F121)=0,"",IF($B121="","",IFERROR(INDEX(Ranges!$D$5:$D$16,MATCH($B121,Ranges!$A$5:$A$16,0)),"")))</f>
        <v/>
      </c>
      <c r="L121" s="42" t="str">
        <f aca="false">IF(OR(NOT(ISNUMBER($E121)),NOT(ISNUMBER(J121))),"",IF(J121&gt;0,$E121/J121,""))</f>
        <v/>
      </c>
      <c r="M121" s="43" t="str">
        <f aca="false">IF(OR(NOT(ISNUMBER($E121)),NOT(ISNUMBER(I121)),NOT(ISNUMBER(K121))),"",IF(K121&gt;I121,($E121-I121)/(K121-I121),""))</f>
        <v/>
      </c>
      <c r="N121" s="42" t="str">
        <f aca="false">IF(Basis="Compa-ratio",L121,M121)</f>
        <v/>
      </c>
      <c r="O121" s="44" t="str">
        <f aca="false">IF(ISNUMBER(N121),IFERROR(MATCH(N121,Matrix!$C$9:$G$9,1),1),"")</f>
        <v/>
      </c>
      <c r="P121" s="45" t="str">
        <f aca="false">IF(COUNTA($A121:$F121)=0,"",IF(Q121="","Y","N"))</f>
        <v/>
      </c>
      <c r="Q121" s="46" t="str">
        <f aca="false">IF(COUNTA($A121:$F121)=0,"",IF($A121="","ID missing",IF(TRIM($F121)="Exclude","Excluded by plan status",IF(AND(TRIM($F121)&lt;&gt;"",TRIM($F121)&lt;&gt;"Include"),"Plan status not valid (use Include or Exclude)",IF(NOT(ISNUMBER($C121)),"Hire date missing or not a date",IF($C121&gt;Cutoff,"Hired after cutoff",IF(NOT(ISNUMBER($E121)),"Salary missing or not a number",IF($E121&lt;=0,"Salary missing or not a number",IF(OR(NOT(ISNUMBER(I121)),NOT(ISNUMBER(J121)),NOT(ISNUMBER(K121))),"Grade not found in Ranges",IF($D121="","Rating missing",IF($D121="NR","Not rated (NR)",IF(NOT(ISNUMBER(MATCH($D121,Matrix!$A$14:$A$18,0))),"Rating not valid (use 1 to 5 or NR)",IF(NOT(ISNUMBER(O121)),"Band not found (check range and limits)","")))))))))))))</f>
        <v/>
      </c>
      <c r="R121" s="47" t="str">
        <f aca="false">IF($P121="Y",INDEX(Matrix!$C$14:$G$18,MATCH($D121,Matrix!$A$14:$A$18,0),$O121),IF($P121="N",0,""))</f>
        <v/>
      </c>
      <c r="S121" s="47" t="str">
        <f aca="false">IF($P121="Y",IF(AND(ISNUMBER($G121),$G121&gt;=0,$G121&lt;=1),$G121,$R121),IF($P121="N",0,""))</f>
        <v/>
      </c>
      <c r="T121" s="48" t="str">
        <f aca="false">IF($P121&lt;&gt;"Y",IF($P121="N",0,""),IF(ProrateMethod="None",1,IF($C121&lt;=PeriodStart,1,IF(ProrateMethod="Daily",MAX(0,MIN(1,(PeriodEnd-$C121+1)/(PeriodEnd-PeriodStart+1))),MAX(0,MIN(1,((YEAR(PeriodEnd)-YEAR($C121))*12+MONTH(PeriodEnd)-MONTH($C121)+1-IF(DAY($C121)&gt;MonthCutDay,1,0))/PeriodMonths))))))</f>
        <v/>
      </c>
      <c r="U121" s="47" t="str">
        <f aca="false">IF($P121="","",$S121*$T121)</f>
        <v/>
      </c>
      <c r="V121" s="49" t="str">
        <f aca="false">IF($P121="","",IF(ISNUMBER($E121),$E121,0)*$R121)</f>
        <v/>
      </c>
      <c r="W121" s="49" t="str">
        <f aca="false">IF($P121="","",IF(ISNUMBER($E121),$E121,0)*$S121)</f>
        <v/>
      </c>
      <c r="X121" s="49" t="str">
        <f aca="false">IF($P121="","",IF(ISNUMBER($E121),$E121,0)*$U121)</f>
        <v/>
      </c>
      <c r="Y121" s="49" t="str">
        <f aca="false">IF($P121="","",IF(AND(CapAtMax="Yes",$P121="Y"),MAX(0,MIN($X121,$K121-$E121)),$X121))</f>
        <v/>
      </c>
      <c r="Z121" s="41" t="str">
        <f aca="false">IF(OR($P121="",NOT(ISNUMBER($E121))),"",$E121+$Y121)</f>
        <v/>
      </c>
      <c r="AA121" s="42" t="str">
        <f aca="false">IF(AND(ISNUMBER(Z121),ISNUMBER(J121)),IF(J121&gt;0,Z121/J121,""),"")</f>
        <v/>
      </c>
      <c r="AB121" s="46" t="str">
        <f aca="false">IF($P121="","",TRIM(IF(AND($P121="Y",ISNUMBER(K121),ISNUMBER(Z121)),IF(Z121&gt;K121,"Above range max. ",""),"")&amp;IF(AND($P121="Y",ISNUMBER($X121),ISNUMBER($Y121)),IF($X121-$Y121&gt;0.005,"Capped at range max. ",""),"")&amp;IF(AND(AND(ISNUMBER($G121),$G121&gt;=0,$G121&lt;=1),$H121=""),"Override needs a reason. ","")&amp;IF(AND(AND(ISNUMBER($G121),$G121&gt;=0,$G121&lt;=1),$P121&lt;&gt;"Y"),"Override ignored. ","")&amp;IF(AND($G121&lt;&gt;"",NOT(AND(ISNUMBER($G121),$G121&gt;=0,$G121&lt;=1))),"Override not valid, ignored. ","")&amp;IF(AND($A121&lt;&gt;"",COUNTIF($A$5:$A$254,$A121)&gt;1),"Duplicate ID. ","")))</f>
        <v/>
      </c>
    </row>
    <row r="122" customFormat="false" ht="15" hidden="false" customHeight="false" outlineLevel="0" collapsed="false">
      <c r="A122" s="18"/>
      <c r="B122" s="38"/>
      <c r="C122" s="39"/>
      <c r="D122" s="38"/>
      <c r="E122" s="19"/>
      <c r="F122" s="38"/>
      <c r="G122" s="40"/>
      <c r="H122" s="18"/>
      <c r="I122" s="41" t="str">
        <f aca="false">IF(COUNTA($A122:$F122)=0,"",IF($B122="","",IFERROR(INDEX(Ranges!$B$5:$B$16,MATCH($B122,Ranges!$A$5:$A$16,0)),"")))</f>
        <v/>
      </c>
      <c r="J122" s="41" t="str">
        <f aca="false">IF(COUNTA($A122:$F122)=0,"",IF($B122="","",IFERROR(INDEX(Ranges!$C$5:$C$16,MATCH($B122,Ranges!$A$5:$A$16,0)),"")))</f>
        <v/>
      </c>
      <c r="K122" s="41" t="str">
        <f aca="false">IF(COUNTA($A122:$F122)=0,"",IF($B122="","",IFERROR(INDEX(Ranges!$D$5:$D$16,MATCH($B122,Ranges!$A$5:$A$16,0)),"")))</f>
        <v/>
      </c>
      <c r="L122" s="42" t="str">
        <f aca="false">IF(OR(NOT(ISNUMBER($E122)),NOT(ISNUMBER(J122))),"",IF(J122&gt;0,$E122/J122,""))</f>
        <v/>
      </c>
      <c r="M122" s="43" t="str">
        <f aca="false">IF(OR(NOT(ISNUMBER($E122)),NOT(ISNUMBER(I122)),NOT(ISNUMBER(K122))),"",IF(K122&gt;I122,($E122-I122)/(K122-I122),""))</f>
        <v/>
      </c>
      <c r="N122" s="42" t="str">
        <f aca="false">IF(Basis="Compa-ratio",L122,M122)</f>
        <v/>
      </c>
      <c r="O122" s="44" t="str">
        <f aca="false">IF(ISNUMBER(N122),IFERROR(MATCH(N122,Matrix!$C$9:$G$9,1),1),"")</f>
        <v/>
      </c>
      <c r="P122" s="45" t="str">
        <f aca="false">IF(COUNTA($A122:$F122)=0,"",IF(Q122="","Y","N"))</f>
        <v/>
      </c>
      <c r="Q122" s="46" t="str">
        <f aca="false">IF(COUNTA($A122:$F122)=0,"",IF($A122="","ID missing",IF(TRIM($F122)="Exclude","Excluded by plan status",IF(AND(TRIM($F122)&lt;&gt;"",TRIM($F122)&lt;&gt;"Include"),"Plan status not valid (use Include or Exclude)",IF(NOT(ISNUMBER($C122)),"Hire date missing or not a date",IF($C122&gt;Cutoff,"Hired after cutoff",IF(NOT(ISNUMBER($E122)),"Salary missing or not a number",IF($E122&lt;=0,"Salary missing or not a number",IF(OR(NOT(ISNUMBER(I122)),NOT(ISNUMBER(J122)),NOT(ISNUMBER(K122))),"Grade not found in Ranges",IF($D122="","Rating missing",IF($D122="NR","Not rated (NR)",IF(NOT(ISNUMBER(MATCH($D122,Matrix!$A$14:$A$18,0))),"Rating not valid (use 1 to 5 or NR)",IF(NOT(ISNUMBER(O122)),"Band not found (check range and limits)","")))))))))))))</f>
        <v/>
      </c>
      <c r="R122" s="47" t="str">
        <f aca="false">IF($P122="Y",INDEX(Matrix!$C$14:$G$18,MATCH($D122,Matrix!$A$14:$A$18,0),$O122),IF($P122="N",0,""))</f>
        <v/>
      </c>
      <c r="S122" s="47" t="str">
        <f aca="false">IF($P122="Y",IF(AND(ISNUMBER($G122),$G122&gt;=0,$G122&lt;=1),$G122,$R122),IF($P122="N",0,""))</f>
        <v/>
      </c>
      <c r="T122" s="48" t="str">
        <f aca="false">IF($P122&lt;&gt;"Y",IF($P122="N",0,""),IF(ProrateMethod="None",1,IF($C122&lt;=PeriodStart,1,IF(ProrateMethod="Daily",MAX(0,MIN(1,(PeriodEnd-$C122+1)/(PeriodEnd-PeriodStart+1))),MAX(0,MIN(1,((YEAR(PeriodEnd)-YEAR($C122))*12+MONTH(PeriodEnd)-MONTH($C122)+1-IF(DAY($C122)&gt;MonthCutDay,1,0))/PeriodMonths))))))</f>
        <v/>
      </c>
      <c r="U122" s="47" t="str">
        <f aca="false">IF($P122="","",$S122*$T122)</f>
        <v/>
      </c>
      <c r="V122" s="49" t="str">
        <f aca="false">IF($P122="","",IF(ISNUMBER($E122),$E122,0)*$R122)</f>
        <v/>
      </c>
      <c r="W122" s="49" t="str">
        <f aca="false">IF($P122="","",IF(ISNUMBER($E122),$E122,0)*$S122)</f>
        <v/>
      </c>
      <c r="X122" s="49" t="str">
        <f aca="false">IF($P122="","",IF(ISNUMBER($E122),$E122,0)*$U122)</f>
        <v/>
      </c>
      <c r="Y122" s="49" t="str">
        <f aca="false">IF($P122="","",IF(AND(CapAtMax="Yes",$P122="Y"),MAX(0,MIN($X122,$K122-$E122)),$X122))</f>
        <v/>
      </c>
      <c r="Z122" s="41" t="str">
        <f aca="false">IF(OR($P122="",NOT(ISNUMBER($E122))),"",$E122+$Y122)</f>
        <v/>
      </c>
      <c r="AA122" s="42" t="str">
        <f aca="false">IF(AND(ISNUMBER(Z122),ISNUMBER(J122)),IF(J122&gt;0,Z122/J122,""),"")</f>
        <v/>
      </c>
      <c r="AB122" s="46" t="str">
        <f aca="false">IF($P122="","",TRIM(IF(AND($P122="Y",ISNUMBER(K122),ISNUMBER(Z122)),IF(Z122&gt;K122,"Above range max. ",""),"")&amp;IF(AND($P122="Y",ISNUMBER($X122),ISNUMBER($Y122)),IF($X122-$Y122&gt;0.005,"Capped at range max. ",""),"")&amp;IF(AND(AND(ISNUMBER($G122),$G122&gt;=0,$G122&lt;=1),$H122=""),"Override needs a reason. ","")&amp;IF(AND(AND(ISNUMBER($G122),$G122&gt;=0,$G122&lt;=1),$P122&lt;&gt;"Y"),"Override ignored. ","")&amp;IF(AND($G122&lt;&gt;"",NOT(AND(ISNUMBER($G122),$G122&gt;=0,$G122&lt;=1))),"Override not valid, ignored. ","")&amp;IF(AND($A122&lt;&gt;"",COUNTIF($A$5:$A$254,$A122)&gt;1),"Duplicate ID. ","")))</f>
        <v/>
      </c>
    </row>
    <row r="123" customFormat="false" ht="15" hidden="false" customHeight="false" outlineLevel="0" collapsed="false">
      <c r="A123" s="18"/>
      <c r="B123" s="38"/>
      <c r="C123" s="39"/>
      <c r="D123" s="38"/>
      <c r="E123" s="19"/>
      <c r="F123" s="38"/>
      <c r="G123" s="40"/>
      <c r="H123" s="18"/>
      <c r="I123" s="41" t="str">
        <f aca="false">IF(COUNTA($A123:$F123)=0,"",IF($B123="","",IFERROR(INDEX(Ranges!$B$5:$B$16,MATCH($B123,Ranges!$A$5:$A$16,0)),"")))</f>
        <v/>
      </c>
      <c r="J123" s="41" t="str">
        <f aca="false">IF(COUNTA($A123:$F123)=0,"",IF($B123="","",IFERROR(INDEX(Ranges!$C$5:$C$16,MATCH($B123,Ranges!$A$5:$A$16,0)),"")))</f>
        <v/>
      </c>
      <c r="K123" s="41" t="str">
        <f aca="false">IF(COUNTA($A123:$F123)=0,"",IF($B123="","",IFERROR(INDEX(Ranges!$D$5:$D$16,MATCH($B123,Ranges!$A$5:$A$16,0)),"")))</f>
        <v/>
      </c>
      <c r="L123" s="42" t="str">
        <f aca="false">IF(OR(NOT(ISNUMBER($E123)),NOT(ISNUMBER(J123))),"",IF(J123&gt;0,$E123/J123,""))</f>
        <v/>
      </c>
      <c r="M123" s="43" t="str">
        <f aca="false">IF(OR(NOT(ISNUMBER($E123)),NOT(ISNUMBER(I123)),NOT(ISNUMBER(K123))),"",IF(K123&gt;I123,($E123-I123)/(K123-I123),""))</f>
        <v/>
      </c>
      <c r="N123" s="42" t="str">
        <f aca="false">IF(Basis="Compa-ratio",L123,M123)</f>
        <v/>
      </c>
      <c r="O123" s="44" t="str">
        <f aca="false">IF(ISNUMBER(N123),IFERROR(MATCH(N123,Matrix!$C$9:$G$9,1),1),"")</f>
        <v/>
      </c>
      <c r="P123" s="45" t="str">
        <f aca="false">IF(COUNTA($A123:$F123)=0,"",IF(Q123="","Y","N"))</f>
        <v/>
      </c>
      <c r="Q123" s="46" t="str">
        <f aca="false">IF(COUNTA($A123:$F123)=0,"",IF($A123="","ID missing",IF(TRIM($F123)="Exclude","Excluded by plan status",IF(AND(TRIM($F123)&lt;&gt;"",TRIM($F123)&lt;&gt;"Include"),"Plan status not valid (use Include or Exclude)",IF(NOT(ISNUMBER($C123)),"Hire date missing or not a date",IF($C123&gt;Cutoff,"Hired after cutoff",IF(NOT(ISNUMBER($E123)),"Salary missing or not a number",IF($E123&lt;=0,"Salary missing or not a number",IF(OR(NOT(ISNUMBER(I123)),NOT(ISNUMBER(J123)),NOT(ISNUMBER(K123))),"Grade not found in Ranges",IF($D123="","Rating missing",IF($D123="NR","Not rated (NR)",IF(NOT(ISNUMBER(MATCH($D123,Matrix!$A$14:$A$18,0))),"Rating not valid (use 1 to 5 or NR)",IF(NOT(ISNUMBER(O123)),"Band not found (check range and limits)","")))))))))))))</f>
        <v/>
      </c>
      <c r="R123" s="47" t="str">
        <f aca="false">IF($P123="Y",INDEX(Matrix!$C$14:$G$18,MATCH($D123,Matrix!$A$14:$A$18,0),$O123),IF($P123="N",0,""))</f>
        <v/>
      </c>
      <c r="S123" s="47" t="str">
        <f aca="false">IF($P123="Y",IF(AND(ISNUMBER($G123),$G123&gt;=0,$G123&lt;=1),$G123,$R123),IF($P123="N",0,""))</f>
        <v/>
      </c>
      <c r="T123" s="48" t="str">
        <f aca="false">IF($P123&lt;&gt;"Y",IF($P123="N",0,""),IF(ProrateMethod="None",1,IF($C123&lt;=PeriodStart,1,IF(ProrateMethod="Daily",MAX(0,MIN(1,(PeriodEnd-$C123+1)/(PeriodEnd-PeriodStart+1))),MAX(0,MIN(1,((YEAR(PeriodEnd)-YEAR($C123))*12+MONTH(PeriodEnd)-MONTH($C123)+1-IF(DAY($C123)&gt;MonthCutDay,1,0))/PeriodMonths))))))</f>
        <v/>
      </c>
      <c r="U123" s="47" t="str">
        <f aca="false">IF($P123="","",$S123*$T123)</f>
        <v/>
      </c>
      <c r="V123" s="49" t="str">
        <f aca="false">IF($P123="","",IF(ISNUMBER($E123),$E123,0)*$R123)</f>
        <v/>
      </c>
      <c r="W123" s="49" t="str">
        <f aca="false">IF($P123="","",IF(ISNUMBER($E123),$E123,0)*$S123)</f>
        <v/>
      </c>
      <c r="X123" s="49" t="str">
        <f aca="false">IF($P123="","",IF(ISNUMBER($E123),$E123,0)*$U123)</f>
        <v/>
      </c>
      <c r="Y123" s="49" t="str">
        <f aca="false">IF($P123="","",IF(AND(CapAtMax="Yes",$P123="Y"),MAX(0,MIN($X123,$K123-$E123)),$X123))</f>
        <v/>
      </c>
      <c r="Z123" s="41" t="str">
        <f aca="false">IF(OR($P123="",NOT(ISNUMBER($E123))),"",$E123+$Y123)</f>
        <v/>
      </c>
      <c r="AA123" s="42" t="str">
        <f aca="false">IF(AND(ISNUMBER(Z123),ISNUMBER(J123)),IF(J123&gt;0,Z123/J123,""),"")</f>
        <v/>
      </c>
      <c r="AB123" s="46" t="str">
        <f aca="false">IF($P123="","",TRIM(IF(AND($P123="Y",ISNUMBER(K123),ISNUMBER(Z123)),IF(Z123&gt;K123,"Above range max. ",""),"")&amp;IF(AND($P123="Y",ISNUMBER($X123),ISNUMBER($Y123)),IF($X123-$Y123&gt;0.005,"Capped at range max. ",""),"")&amp;IF(AND(AND(ISNUMBER($G123),$G123&gt;=0,$G123&lt;=1),$H123=""),"Override needs a reason. ","")&amp;IF(AND(AND(ISNUMBER($G123),$G123&gt;=0,$G123&lt;=1),$P123&lt;&gt;"Y"),"Override ignored. ","")&amp;IF(AND($G123&lt;&gt;"",NOT(AND(ISNUMBER($G123),$G123&gt;=0,$G123&lt;=1))),"Override not valid, ignored. ","")&amp;IF(AND($A123&lt;&gt;"",COUNTIF($A$5:$A$254,$A123)&gt;1),"Duplicate ID. ","")))</f>
        <v/>
      </c>
    </row>
    <row r="124" customFormat="false" ht="15" hidden="false" customHeight="false" outlineLevel="0" collapsed="false">
      <c r="A124" s="18"/>
      <c r="B124" s="38"/>
      <c r="C124" s="39"/>
      <c r="D124" s="38"/>
      <c r="E124" s="19"/>
      <c r="F124" s="38"/>
      <c r="G124" s="40"/>
      <c r="H124" s="18"/>
      <c r="I124" s="41" t="str">
        <f aca="false">IF(COUNTA($A124:$F124)=0,"",IF($B124="","",IFERROR(INDEX(Ranges!$B$5:$B$16,MATCH($B124,Ranges!$A$5:$A$16,0)),"")))</f>
        <v/>
      </c>
      <c r="J124" s="41" t="str">
        <f aca="false">IF(COUNTA($A124:$F124)=0,"",IF($B124="","",IFERROR(INDEX(Ranges!$C$5:$C$16,MATCH($B124,Ranges!$A$5:$A$16,0)),"")))</f>
        <v/>
      </c>
      <c r="K124" s="41" t="str">
        <f aca="false">IF(COUNTA($A124:$F124)=0,"",IF($B124="","",IFERROR(INDEX(Ranges!$D$5:$D$16,MATCH($B124,Ranges!$A$5:$A$16,0)),"")))</f>
        <v/>
      </c>
      <c r="L124" s="42" t="str">
        <f aca="false">IF(OR(NOT(ISNUMBER($E124)),NOT(ISNUMBER(J124))),"",IF(J124&gt;0,$E124/J124,""))</f>
        <v/>
      </c>
      <c r="M124" s="43" t="str">
        <f aca="false">IF(OR(NOT(ISNUMBER($E124)),NOT(ISNUMBER(I124)),NOT(ISNUMBER(K124))),"",IF(K124&gt;I124,($E124-I124)/(K124-I124),""))</f>
        <v/>
      </c>
      <c r="N124" s="42" t="str">
        <f aca="false">IF(Basis="Compa-ratio",L124,M124)</f>
        <v/>
      </c>
      <c r="O124" s="44" t="str">
        <f aca="false">IF(ISNUMBER(N124),IFERROR(MATCH(N124,Matrix!$C$9:$G$9,1),1),"")</f>
        <v/>
      </c>
      <c r="P124" s="45" t="str">
        <f aca="false">IF(COUNTA($A124:$F124)=0,"",IF(Q124="","Y","N"))</f>
        <v/>
      </c>
      <c r="Q124" s="46" t="str">
        <f aca="false">IF(COUNTA($A124:$F124)=0,"",IF($A124="","ID missing",IF(TRIM($F124)="Exclude","Excluded by plan status",IF(AND(TRIM($F124)&lt;&gt;"",TRIM($F124)&lt;&gt;"Include"),"Plan status not valid (use Include or Exclude)",IF(NOT(ISNUMBER($C124)),"Hire date missing or not a date",IF($C124&gt;Cutoff,"Hired after cutoff",IF(NOT(ISNUMBER($E124)),"Salary missing or not a number",IF($E124&lt;=0,"Salary missing or not a number",IF(OR(NOT(ISNUMBER(I124)),NOT(ISNUMBER(J124)),NOT(ISNUMBER(K124))),"Grade not found in Ranges",IF($D124="","Rating missing",IF($D124="NR","Not rated (NR)",IF(NOT(ISNUMBER(MATCH($D124,Matrix!$A$14:$A$18,0))),"Rating not valid (use 1 to 5 or NR)",IF(NOT(ISNUMBER(O124)),"Band not found (check range and limits)","")))))))))))))</f>
        <v/>
      </c>
      <c r="R124" s="47" t="str">
        <f aca="false">IF($P124="Y",INDEX(Matrix!$C$14:$G$18,MATCH($D124,Matrix!$A$14:$A$18,0),$O124),IF($P124="N",0,""))</f>
        <v/>
      </c>
      <c r="S124" s="47" t="str">
        <f aca="false">IF($P124="Y",IF(AND(ISNUMBER($G124),$G124&gt;=0,$G124&lt;=1),$G124,$R124),IF($P124="N",0,""))</f>
        <v/>
      </c>
      <c r="T124" s="48" t="str">
        <f aca="false">IF($P124&lt;&gt;"Y",IF($P124="N",0,""),IF(ProrateMethod="None",1,IF($C124&lt;=PeriodStart,1,IF(ProrateMethod="Daily",MAX(0,MIN(1,(PeriodEnd-$C124+1)/(PeriodEnd-PeriodStart+1))),MAX(0,MIN(1,((YEAR(PeriodEnd)-YEAR($C124))*12+MONTH(PeriodEnd)-MONTH($C124)+1-IF(DAY($C124)&gt;MonthCutDay,1,0))/PeriodMonths))))))</f>
        <v/>
      </c>
      <c r="U124" s="47" t="str">
        <f aca="false">IF($P124="","",$S124*$T124)</f>
        <v/>
      </c>
      <c r="V124" s="49" t="str">
        <f aca="false">IF($P124="","",IF(ISNUMBER($E124),$E124,0)*$R124)</f>
        <v/>
      </c>
      <c r="W124" s="49" t="str">
        <f aca="false">IF($P124="","",IF(ISNUMBER($E124),$E124,0)*$S124)</f>
        <v/>
      </c>
      <c r="X124" s="49" t="str">
        <f aca="false">IF($P124="","",IF(ISNUMBER($E124),$E124,0)*$U124)</f>
        <v/>
      </c>
      <c r="Y124" s="49" t="str">
        <f aca="false">IF($P124="","",IF(AND(CapAtMax="Yes",$P124="Y"),MAX(0,MIN($X124,$K124-$E124)),$X124))</f>
        <v/>
      </c>
      <c r="Z124" s="41" t="str">
        <f aca="false">IF(OR($P124="",NOT(ISNUMBER($E124))),"",$E124+$Y124)</f>
        <v/>
      </c>
      <c r="AA124" s="42" t="str">
        <f aca="false">IF(AND(ISNUMBER(Z124),ISNUMBER(J124)),IF(J124&gt;0,Z124/J124,""),"")</f>
        <v/>
      </c>
      <c r="AB124" s="46" t="str">
        <f aca="false">IF($P124="","",TRIM(IF(AND($P124="Y",ISNUMBER(K124),ISNUMBER(Z124)),IF(Z124&gt;K124,"Above range max. ",""),"")&amp;IF(AND($P124="Y",ISNUMBER($X124),ISNUMBER($Y124)),IF($X124-$Y124&gt;0.005,"Capped at range max. ",""),"")&amp;IF(AND(AND(ISNUMBER($G124),$G124&gt;=0,$G124&lt;=1),$H124=""),"Override needs a reason. ","")&amp;IF(AND(AND(ISNUMBER($G124),$G124&gt;=0,$G124&lt;=1),$P124&lt;&gt;"Y"),"Override ignored. ","")&amp;IF(AND($G124&lt;&gt;"",NOT(AND(ISNUMBER($G124),$G124&gt;=0,$G124&lt;=1))),"Override not valid, ignored. ","")&amp;IF(AND($A124&lt;&gt;"",COUNTIF($A$5:$A$254,$A124)&gt;1),"Duplicate ID. ","")))</f>
        <v/>
      </c>
    </row>
    <row r="125" customFormat="false" ht="15" hidden="false" customHeight="false" outlineLevel="0" collapsed="false">
      <c r="A125" s="18"/>
      <c r="B125" s="38"/>
      <c r="C125" s="39"/>
      <c r="D125" s="38"/>
      <c r="E125" s="19"/>
      <c r="F125" s="38"/>
      <c r="G125" s="40"/>
      <c r="H125" s="18"/>
      <c r="I125" s="41" t="str">
        <f aca="false">IF(COUNTA($A125:$F125)=0,"",IF($B125="","",IFERROR(INDEX(Ranges!$B$5:$B$16,MATCH($B125,Ranges!$A$5:$A$16,0)),"")))</f>
        <v/>
      </c>
      <c r="J125" s="41" t="str">
        <f aca="false">IF(COUNTA($A125:$F125)=0,"",IF($B125="","",IFERROR(INDEX(Ranges!$C$5:$C$16,MATCH($B125,Ranges!$A$5:$A$16,0)),"")))</f>
        <v/>
      </c>
      <c r="K125" s="41" t="str">
        <f aca="false">IF(COUNTA($A125:$F125)=0,"",IF($B125="","",IFERROR(INDEX(Ranges!$D$5:$D$16,MATCH($B125,Ranges!$A$5:$A$16,0)),"")))</f>
        <v/>
      </c>
      <c r="L125" s="42" t="str">
        <f aca="false">IF(OR(NOT(ISNUMBER($E125)),NOT(ISNUMBER(J125))),"",IF(J125&gt;0,$E125/J125,""))</f>
        <v/>
      </c>
      <c r="M125" s="43" t="str">
        <f aca="false">IF(OR(NOT(ISNUMBER($E125)),NOT(ISNUMBER(I125)),NOT(ISNUMBER(K125))),"",IF(K125&gt;I125,($E125-I125)/(K125-I125),""))</f>
        <v/>
      </c>
      <c r="N125" s="42" t="str">
        <f aca="false">IF(Basis="Compa-ratio",L125,M125)</f>
        <v/>
      </c>
      <c r="O125" s="44" t="str">
        <f aca="false">IF(ISNUMBER(N125),IFERROR(MATCH(N125,Matrix!$C$9:$G$9,1),1),"")</f>
        <v/>
      </c>
      <c r="P125" s="45" t="str">
        <f aca="false">IF(COUNTA($A125:$F125)=0,"",IF(Q125="","Y","N"))</f>
        <v/>
      </c>
      <c r="Q125" s="46" t="str">
        <f aca="false">IF(COUNTA($A125:$F125)=0,"",IF($A125="","ID missing",IF(TRIM($F125)="Exclude","Excluded by plan status",IF(AND(TRIM($F125)&lt;&gt;"",TRIM($F125)&lt;&gt;"Include"),"Plan status not valid (use Include or Exclude)",IF(NOT(ISNUMBER($C125)),"Hire date missing or not a date",IF($C125&gt;Cutoff,"Hired after cutoff",IF(NOT(ISNUMBER($E125)),"Salary missing or not a number",IF($E125&lt;=0,"Salary missing or not a number",IF(OR(NOT(ISNUMBER(I125)),NOT(ISNUMBER(J125)),NOT(ISNUMBER(K125))),"Grade not found in Ranges",IF($D125="","Rating missing",IF($D125="NR","Not rated (NR)",IF(NOT(ISNUMBER(MATCH($D125,Matrix!$A$14:$A$18,0))),"Rating not valid (use 1 to 5 or NR)",IF(NOT(ISNUMBER(O125)),"Band not found (check range and limits)","")))))))))))))</f>
        <v/>
      </c>
      <c r="R125" s="47" t="str">
        <f aca="false">IF($P125="Y",INDEX(Matrix!$C$14:$G$18,MATCH($D125,Matrix!$A$14:$A$18,0),$O125),IF($P125="N",0,""))</f>
        <v/>
      </c>
      <c r="S125" s="47" t="str">
        <f aca="false">IF($P125="Y",IF(AND(ISNUMBER($G125),$G125&gt;=0,$G125&lt;=1),$G125,$R125),IF($P125="N",0,""))</f>
        <v/>
      </c>
      <c r="T125" s="48" t="str">
        <f aca="false">IF($P125&lt;&gt;"Y",IF($P125="N",0,""),IF(ProrateMethod="None",1,IF($C125&lt;=PeriodStart,1,IF(ProrateMethod="Daily",MAX(0,MIN(1,(PeriodEnd-$C125+1)/(PeriodEnd-PeriodStart+1))),MAX(0,MIN(1,((YEAR(PeriodEnd)-YEAR($C125))*12+MONTH(PeriodEnd)-MONTH($C125)+1-IF(DAY($C125)&gt;MonthCutDay,1,0))/PeriodMonths))))))</f>
        <v/>
      </c>
      <c r="U125" s="47" t="str">
        <f aca="false">IF($P125="","",$S125*$T125)</f>
        <v/>
      </c>
      <c r="V125" s="49" t="str">
        <f aca="false">IF($P125="","",IF(ISNUMBER($E125),$E125,0)*$R125)</f>
        <v/>
      </c>
      <c r="W125" s="49" t="str">
        <f aca="false">IF($P125="","",IF(ISNUMBER($E125),$E125,0)*$S125)</f>
        <v/>
      </c>
      <c r="X125" s="49" t="str">
        <f aca="false">IF($P125="","",IF(ISNUMBER($E125),$E125,0)*$U125)</f>
        <v/>
      </c>
      <c r="Y125" s="49" t="str">
        <f aca="false">IF($P125="","",IF(AND(CapAtMax="Yes",$P125="Y"),MAX(0,MIN($X125,$K125-$E125)),$X125))</f>
        <v/>
      </c>
      <c r="Z125" s="41" t="str">
        <f aca="false">IF(OR($P125="",NOT(ISNUMBER($E125))),"",$E125+$Y125)</f>
        <v/>
      </c>
      <c r="AA125" s="42" t="str">
        <f aca="false">IF(AND(ISNUMBER(Z125),ISNUMBER(J125)),IF(J125&gt;0,Z125/J125,""),"")</f>
        <v/>
      </c>
      <c r="AB125" s="46" t="str">
        <f aca="false">IF($P125="","",TRIM(IF(AND($P125="Y",ISNUMBER(K125),ISNUMBER(Z125)),IF(Z125&gt;K125,"Above range max. ",""),"")&amp;IF(AND($P125="Y",ISNUMBER($X125),ISNUMBER($Y125)),IF($X125-$Y125&gt;0.005,"Capped at range max. ",""),"")&amp;IF(AND(AND(ISNUMBER($G125),$G125&gt;=0,$G125&lt;=1),$H125=""),"Override needs a reason. ","")&amp;IF(AND(AND(ISNUMBER($G125),$G125&gt;=0,$G125&lt;=1),$P125&lt;&gt;"Y"),"Override ignored. ","")&amp;IF(AND($G125&lt;&gt;"",NOT(AND(ISNUMBER($G125),$G125&gt;=0,$G125&lt;=1))),"Override not valid, ignored. ","")&amp;IF(AND($A125&lt;&gt;"",COUNTIF($A$5:$A$254,$A125)&gt;1),"Duplicate ID. ","")))</f>
        <v/>
      </c>
    </row>
    <row r="126" customFormat="false" ht="15" hidden="false" customHeight="false" outlineLevel="0" collapsed="false">
      <c r="A126" s="18"/>
      <c r="B126" s="38"/>
      <c r="C126" s="39"/>
      <c r="D126" s="38"/>
      <c r="E126" s="19"/>
      <c r="F126" s="38"/>
      <c r="G126" s="40"/>
      <c r="H126" s="18"/>
      <c r="I126" s="41" t="str">
        <f aca="false">IF(COUNTA($A126:$F126)=0,"",IF($B126="","",IFERROR(INDEX(Ranges!$B$5:$B$16,MATCH($B126,Ranges!$A$5:$A$16,0)),"")))</f>
        <v/>
      </c>
      <c r="J126" s="41" t="str">
        <f aca="false">IF(COUNTA($A126:$F126)=0,"",IF($B126="","",IFERROR(INDEX(Ranges!$C$5:$C$16,MATCH($B126,Ranges!$A$5:$A$16,0)),"")))</f>
        <v/>
      </c>
      <c r="K126" s="41" t="str">
        <f aca="false">IF(COUNTA($A126:$F126)=0,"",IF($B126="","",IFERROR(INDEX(Ranges!$D$5:$D$16,MATCH($B126,Ranges!$A$5:$A$16,0)),"")))</f>
        <v/>
      </c>
      <c r="L126" s="42" t="str">
        <f aca="false">IF(OR(NOT(ISNUMBER($E126)),NOT(ISNUMBER(J126))),"",IF(J126&gt;0,$E126/J126,""))</f>
        <v/>
      </c>
      <c r="M126" s="43" t="str">
        <f aca="false">IF(OR(NOT(ISNUMBER($E126)),NOT(ISNUMBER(I126)),NOT(ISNUMBER(K126))),"",IF(K126&gt;I126,($E126-I126)/(K126-I126),""))</f>
        <v/>
      </c>
      <c r="N126" s="42" t="str">
        <f aca="false">IF(Basis="Compa-ratio",L126,M126)</f>
        <v/>
      </c>
      <c r="O126" s="44" t="str">
        <f aca="false">IF(ISNUMBER(N126),IFERROR(MATCH(N126,Matrix!$C$9:$G$9,1),1),"")</f>
        <v/>
      </c>
      <c r="P126" s="45" t="str">
        <f aca="false">IF(COUNTA($A126:$F126)=0,"",IF(Q126="","Y","N"))</f>
        <v/>
      </c>
      <c r="Q126" s="46" t="str">
        <f aca="false">IF(COUNTA($A126:$F126)=0,"",IF($A126="","ID missing",IF(TRIM($F126)="Exclude","Excluded by plan status",IF(AND(TRIM($F126)&lt;&gt;"",TRIM($F126)&lt;&gt;"Include"),"Plan status not valid (use Include or Exclude)",IF(NOT(ISNUMBER($C126)),"Hire date missing or not a date",IF($C126&gt;Cutoff,"Hired after cutoff",IF(NOT(ISNUMBER($E126)),"Salary missing or not a number",IF($E126&lt;=0,"Salary missing or not a number",IF(OR(NOT(ISNUMBER(I126)),NOT(ISNUMBER(J126)),NOT(ISNUMBER(K126))),"Grade not found in Ranges",IF($D126="","Rating missing",IF($D126="NR","Not rated (NR)",IF(NOT(ISNUMBER(MATCH($D126,Matrix!$A$14:$A$18,0))),"Rating not valid (use 1 to 5 or NR)",IF(NOT(ISNUMBER(O126)),"Band not found (check range and limits)","")))))))))))))</f>
        <v/>
      </c>
      <c r="R126" s="47" t="str">
        <f aca="false">IF($P126="Y",INDEX(Matrix!$C$14:$G$18,MATCH($D126,Matrix!$A$14:$A$18,0),$O126),IF($P126="N",0,""))</f>
        <v/>
      </c>
      <c r="S126" s="47" t="str">
        <f aca="false">IF($P126="Y",IF(AND(ISNUMBER($G126),$G126&gt;=0,$G126&lt;=1),$G126,$R126),IF($P126="N",0,""))</f>
        <v/>
      </c>
      <c r="T126" s="48" t="str">
        <f aca="false">IF($P126&lt;&gt;"Y",IF($P126="N",0,""),IF(ProrateMethod="None",1,IF($C126&lt;=PeriodStart,1,IF(ProrateMethod="Daily",MAX(0,MIN(1,(PeriodEnd-$C126+1)/(PeriodEnd-PeriodStart+1))),MAX(0,MIN(1,((YEAR(PeriodEnd)-YEAR($C126))*12+MONTH(PeriodEnd)-MONTH($C126)+1-IF(DAY($C126)&gt;MonthCutDay,1,0))/PeriodMonths))))))</f>
        <v/>
      </c>
      <c r="U126" s="47" t="str">
        <f aca="false">IF($P126="","",$S126*$T126)</f>
        <v/>
      </c>
      <c r="V126" s="49" t="str">
        <f aca="false">IF($P126="","",IF(ISNUMBER($E126),$E126,0)*$R126)</f>
        <v/>
      </c>
      <c r="W126" s="49" t="str">
        <f aca="false">IF($P126="","",IF(ISNUMBER($E126),$E126,0)*$S126)</f>
        <v/>
      </c>
      <c r="X126" s="49" t="str">
        <f aca="false">IF($P126="","",IF(ISNUMBER($E126),$E126,0)*$U126)</f>
        <v/>
      </c>
      <c r="Y126" s="49" t="str">
        <f aca="false">IF($P126="","",IF(AND(CapAtMax="Yes",$P126="Y"),MAX(0,MIN($X126,$K126-$E126)),$X126))</f>
        <v/>
      </c>
      <c r="Z126" s="41" t="str">
        <f aca="false">IF(OR($P126="",NOT(ISNUMBER($E126))),"",$E126+$Y126)</f>
        <v/>
      </c>
      <c r="AA126" s="42" t="str">
        <f aca="false">IF(AND(ISNUMBER(Z126),ISNUMBER(J126)),IF(J126&gt;0,Z126/J126,""),"")</f>
        <v/>
      </c>
      <c r="AB126" s="46" t="str">
        <f aca="false">IF($P126="","",TRIM(IF(AND($P126="Y",ISNUMBER(K126),ISNUMBER(Z126)),IF(Z126&gt;K126,"Above range max. ",""),"")&amp;IF(AND($P126="Y",ISNUMBER($X126),ISNUMBER($Y126)),IF($X126-$Y126&gt;0.005,"Capped at range max. ",""),"")&amp;IF(AND(AND(ISNUMBER($G126),$G126&gt;=0,$G126&lt;=1),$H126=""),"Override needs a reason. ","")&amp;IF(AND(AND(ISNUMBER($G126),$G126&gt;=0,$G126&lt;=1),$P126&lt;&gt;"Y"),"Override ignored. ","")&amp;IF(AND($G126&lt;&gt;"",NOT(AND(ISNUMBER($G126),$G126&gt;=0,$G126&lt;=1))),"Override not valid, ignored. ","")&amp;IF(AND($A126&lt;&gt;"",COUNTIF($A$5:$A$254,$A126)&gt;1),"Duplicate ID. ","")))</f>
        <v/>
      </c>
    </row>
    <row r="127" customFormat="false" ht="15" hidden="false" customHeight="false" outlineLevel="0" collapsed="false">
      <c r="A127" s="18"/>
      <c r="B127" s="38"/>
      <c r="C127" s="39"/>
      <c r="D127" s="38"/>
      <c r="E127" s="19"/>
      <c r="F127" s="38"/>
      <c r="G127" s="40"/>
      <c r="H127" s="18"/>
      <c r="I127" s="41" t="str">
        <f aca="false">IF(COUNTA($A127:$F127)=0,"",IF($B127="","",IFERROR(INDEX(Ranges!$B$5:$B$16,MATCH($B127,Ranges!$A$5:$A$16,0)),"")))</f>
        <v/>
      </c>
      <c r="J127" s="41" t="str">
        <f aca="false">IF(COUNTA($A127:$F127)=0,"",IF($B127="","",IFERROR(INDEX(Ranges!$C$5:$C$16,MATCH($B127,Ranges!$A$5:$A$16,0)),"")))</f>
        <v/>
      </c>
      <c r="K127" s="41" t="str">
        <f aca="false">IF(COUNTA($A127:$F127)=0,"",IF($B127="","",IFERROR(INDEX(Ranges!$D$5:$D$16,MATCH($B127,Ranges!$A$5:$A$16,0)),"")))</f>
        <v/>
      </c>
      <c r="L127" s="42" t="str">
        <f aca="false">IF(OR(NOT(ISNUMBER($E127)),NOT(ISNUMBER(J127))),"",IF(J127&gt;0,$E127/J127,""))</f>
        <v/>
      </c>
      <c r="M127" s="43" t="str">
        <f aca="false">IF(OR(NOT(ISNUMBER($E127)),NOT(ISNUMBER(I127)),NOT(ISNUMBER(K127))),"",IF(K127&gt;I127,($E127-I127)/(K127-I127),""))</f>
        <v/>
      </c>
      <c r="N127" s="42" t="str">
        <f aca="false">IF(Basis="Compa-ratio",L127,M127)</f>
        <v/>
      </c>
      <c r="O127" s="44" t="str">
        <f aca="false">IF(ISNUMBER(N127),IFERROR(MATCH(N127,Matrix!$C$9:$G$9,1),1),"")</f>
        <v/>
      </c>
      <c r="P127" s="45" t="str">
        <f aca="false">IF(COUNTA($A127:$F127)=0,"",IF(Q127="","Y","N"))</f>
        <v/>
      </c>
      <c r="Q127" s="46" t="str">
        <f aca="false">IF(COUNTA($A127:$F127)=0,"",IF($A127="","ID missing",IF(TRIM($F127)="Exclude","Excluded by plan status",IF(AND(TRIM($F127)&lt;&gt;"",TRIM($F127)&lt;&gt;"Include"),"Plan status not valid (use Include or Exclude)",IF(NOT(ISNUMBER($C127)),"Hire date missing or not a date",IF($C127&gt;Cutoff,"Hired after cutoff",IF(NOT(ISNUMBER($E127)),"Salary missing or not a number",IF($E127&lt;=0,"Salary missing or not a number",IF(OR(NOT(ISNUMBER(I127)),NOT(ISNUMBER(J127)),NOT(ISNUMBER(K127))),"Grade not found in Ranges",IF($D127="","Rating missing",IF($D127="NR","Not rated (NR)",IF(NOT(ISNUMBER(MATCH($D127,Matrix!$A$14:$A$18,0))),"Rating not valid (use 1 to 5 or NR)",IF(NOT(ISNUMBER(O127)),"Band not found (check range and limits)","")))))))))))))</f>
        <v/>
      </c>
      <c r="R127" s="47" t="str">
        <f aca="false">IF($P127="Y",INDEX(Matrix!$C$14:$G$18,MATCH($D127,Matrix!$A$14:$A$18,0),$O127),IF($P127="N",0,""))</f>
        <v/>
      </c>
      <c r="S127" s="47" t="str">
        <f aca="false">IF($P127="Y",IF(AND(ISNUMBER($G127),$G127&gt;=0,$G127&lt;=1),$G127,$R127),IF($P127="N",0,""))</f>
        <v/>
      </c>
      <c r="T127" s="48" t="str">
        <f aca="false">IF($P127&lt;&gt;"Y",IF($P127="N",0,""),IF(ProrateMethod="None",1,IF($C127&lt;=PeriodStart,1,IF(ProrateMethod="Daily",MAX(0,MIN(1,(PeriodEnd-$C127+1)/(PeriodEnd-PeriodStart+1))),MAX(0,MIN(1,((YEAR(PeriodEnd)-YEAR($C127))*12+MONTH(PeriodEnd)-MONTH($C127)+1-IF(DAY($C127)&gt;MonthCutDay,1,0))/PeriodMonths))))))</f>
        <v/>
      </c>
      <c r="U127" s="47" t="str">
        <f aca="false">IF($P127="","",$S127*$T127)</f>
        <v/>
      </c>
      <c r="V127" s="49" t="str">
        <f aca="false">IF($P127="","",IF(ISNUMBER($E127),$E127,0)*$R127)</f>
        <v/>
      </c>
      <c r="W127" s="49" t="str">
        <f aca="false">IF($P127="","",IF(ISNUMBER($E127),$E127,0)*$S127)</f>
        <v/>
      </c>
      <c r="X127" s="49" t="str">
        <f aca="false">IF($P127="","",IF(ISNUMBER($E127),$E127,0)*$U127)</f>
        <v/>
      </c>
      <c r="Y127" s="49" t="str">
        <f aca="false">IF($P127="","",IF(AND(CapAtMax="Yes",$P127="Y"),MAX(0,MIN($X127,$K127-$E127)),$X127))</f>
        <v/>
      </c>
      <c r="Z127" s="41" t="str">
        <f aca="false">IF(OR($P127="",NOT(ISNUMBER($E127))),"",$E127+$Y127)</f>
        <v/>
      </c>
      <c r="AA127" s="42" t="str">
        <f aca="false">IF(AND(ISNUMBER(Z127),ISNUMBER(J127)),IF(J127&gt;0,Z127/J127,""),"")</f>
        <v/>
      </c>
      <c r="AB127" s="46" t="str">
        <f aca="false">IF($P127="","",TRIM(IF(AND($P127="Y",ISNUMBER(K127),ISNUMBER(Z127)),IF(Z127&gt;K127,"Above range max. ",""),"")&amp;IF(AND($P127="Y",ISNUMBER($X127),ISNUMBER($Y127)),IF($X127-$Y127&gt;0.005,"Capped at range max. ",""),"")&amp;IF(AND(AND(ISNUMBER($G127),$G127&gt;=0,$G127&lt;=1),$H127=""),"Override needs a reason. ","")&amp;IF(AND(AND(ISNUMBER($G127),$G127&gt;=0,$G127&lt;=1),$P127&lt;&gt;"Y"),"Override ignored. ","")&amp;IF(AND($G127&lt;&gt;"",NOT(AND(ISNUMBER($G127),$G127&gt;=0,$G127&lt;=1))),"Override not valid, ignored. ","")&amp;IF(AND($A127&lt;&gt;"",COUNTIF($A$5:$A$254,$A127)&gt;1),"Duplicate ID. ","")))</f>
        <v/>
      </c>
    </row>
    <row r="128" customFormat="false" ht="15" hidden="false" customHeight="false" outlineLevel="0" collapsed="false">
      <c r="A128" s="18"/>
      <c r="B128" s="38"/>
      <c r="C128" s="39"/>
      <c r="D128" s="38"/>
      <c r="E128" s="19"/>
      <c r="F128" s="38"/>
      <c r="G128" s="40"/>
      <c r="H128" s="18"/>
      <c r="I128" s="41" t="str">
        <f aca="false">IF(COUNTA($A128:$F128)=0,"",IF($B128="","",IFERROR(INDEX(Ranges!$B$5:$B$16,MATCH($B128,Ranges!$A$5:$A$16,0)),"")))</f>
        <v/>
      </c>
      <c r="J128" s="41" t="str">
        <f aca="false">IF(COUNTA($A128:$F128)=0,"",IF($B128="","",IFERROR(INDEX(Ranges!$C$5:$C$16,MATCH($B128,Ranges!$A$5:$A$16,0)),"")))</f>
        <v/>
      </c>
      <c r="K128" s="41" t="str">
        <f aca="false">IF(COUNTA($A128:$F128)=0,"",IF($B128="","",IFERROR(INDEX(Ranges!$D$5:$D$16,MATCH($B128,Ranges!$A$5:$A$16,0)),"")))</f>
        <v/>
      </c>
      <c r="L128" s="42" t="str">
        <f aca="false">IF(OR(NOT(ISNUMBER($E128)),NOT(ISNUMBER(J128))),"",IF(J128&gt;0,$E128/J128,""))</f>
        <v/>
      </c>
      <c r="M128" s="43" t="str">
        <f aca="false">IF(OR(NOT(ISNUMBER($E128)),NOT(ISNUMBER(I128)),NOT(ISNUMBER(K128))),"",IF(K128&gt;I128,($E128-I128)/(K128-I128),""))</f>
        <v/>
      </c>
      <c r="N128" s="42" t="str">
        <f aca="false">IF(Basis="Compa-ratio",L128,M128)</f>
        <v/>
      </c>
      <c r="O128" s="44" t="str">
        <f aca="false">IF(ISNUMBER(N128),IFERROR(MATCH(N128,Matrix!$C$9:$G$9,1),1),"")</f>
        <v/>
      </c>
      <c r="P128" s="45" t="str">
        <f aca="false">IF(COUNTA($A128:$F128)=0,"",IF(Q128="","Y","N"))</f>
        <v/>
      </c>
      <c r="Q128" s="46" t="str">
        <f aca="false">IF(COUNTA($A128:$F128)=0,"",IF($A128="","ID missing",IF(TRIM($F128)="Exclude","Excluded by plan status",IF(AND(TRIM($F128)&lt;&gt;"",TRIM($F128)&lt;&gt;"Include"),"Plan status not valid (use Include or Exclude)",IF(NOT(ISNUMBER($C128)),"Hire date missing or not a date",IF($C128&gt;Cutoff,"Hired after cutoff",IF(NOT(ISNUMBER($E128)),"Salary missing or not a number",IF($E128&lt;=0,"Salary missing or not a number",IF(OR(NOT(ISNUMBER(I128)),NOT(ISNUMBER(J128)),NOT(ISNUMBER(K128))),"Grade not found in Ranges",IF($D128="","Rating missing",IF($D128="NR","Not rated (NR)",IF(NOT(ISNUMBER(MATCH($D128,Matrix!$A$14:$A$18,0))),"Rating not valid (use 1 to 5 or NR)",IF(NOT(ISNUMBER(O128)),"Band not found (check range and limits)","")))))))))))))</f>
        <v/>
      </c>
      <c r="R128" s="47" t="str">
        <f aca="false">IF($P128="Y",INDEX(Matrix!$C$14:$G$18,MATCH($D128,Matrix!$A$14:$A$18,0),$O128),IF($P128="N",0,""))</f>
        <v/>
      </c>
      <c r="S128" s="47" t="str">
        <f aca="false">IF($P128="Y",IF(AND(ISNUMBER($G128),$G128&gt;=0,$G128&lt;=1),$G128,$R128),IF($P128="N",0,""))</f>
        <v/>
      </c>
      <c r="T128" s="48" t="str">
        <f aca="false">IF($P128&lt;&gt;"Y",IF($P128="N",0,""),IF(ProrateMethod="None",1,IF($C128&lt;=PeriodStart,1,IF(ProrateMethod="Daily",MAX(0,MIN(1,(PeriodEnd-$C128+1)/(PeriodEnd-PeriodStart+1))),MAX(0,MIN(1,((YEAR(PeriodEnd)-YEAR($C128))*12+MONTH(PeriodEnd)-MONTH($C128)+1-IF(DAY($C128)&gt;MonthCutDay,1,0))/PeriodMonths))))))</f>
        <v/>
      </c>
      <c r="U128" s="47" t="str">
        <f aca="false">IF($P128="","",$S128*$T128)</f>
        <v/>
      </c>
      <c r="V128" s="49" t="str">
        <f aca="false">IF($P128="","",IF(ISNUMBER($E128),$E128,0)*$R128)</f>
        <v/>
      </c>
      <c r="W128" s="49" t="str">
        <f aca="false">IF($P128="","",IF(ISNUMBER($E128),$E128,0)*$S128)</f>
        <v/>
      </c>
      <c r="X128" s="49" t="str">
        <f aca="false">IF($P128="","",IF(ISNUMBER($E128),$E128,0)*$U128)</f>
        <v/>
      </c>
      <c r="Y128" s="49" t="str">
        <f aca="false">IF($P128="","",IF(AND(CapAtMax="Yes",$P128="Y"),MAX(0,MIN($X128,$K128-$E128)),$X128))</f>
        <v/>
      </c>
      <c r="Z128" s="41" t="str">
        <f aca="false">IF(OR($P128="",NOT(ISNUMBER($E128))),"",$E128+$Y128)</f>
        <v/>
      </c>
      <c r="AA128" s="42" t="str">
        <f aca="false">IF(AND(ISNUMBER(Z128),ISNUMBER(J128)),IF(J128&gt;0,Z128/J128,""),"")</f>
        <v/>
      </c>
      <c r="AB128" s="46" t="str">
        <f aca="false">IF($P128="","",TRIM(IF(AND($P128="Y",ISNUMBER(K128),ISNUMBER(Z128)),IF(Z128&gt;K128,"Above range max. ",""),"")&amp;IF(AND($P128="Y",ISNUMBER($X128),ISNUMBER($Y128)),IF($X128-$Y128&gt;0.005,"Capped at range max. ",""),"")&amp;IF(AND(AND(ISNUMBER($G128),$G128&gt;=0,$G128&lt;=1),$H128=""),"Override needs a reason. ","")&amp;IF(AND(AND(ISNUMBER($G128),$G128&gt;=0,$G128&lt;=1),$P128&lt;&gt;"Y"),"Override ignored. ","")&amp;IF(AND($G128&lt;&gt;"",NOT(AND(ISNUMBER($G128),$G128&gt;=0,$G128&lt;=1))),"Override not valid, ignored. ","")&amp;IF(AND($A128&lt;&gt;"",COUNTIF($A$5:$A$254,$A128)&gt;1),"Duplicate ID. ","")))</f>
        <v/>
      </c>
    </row>
    <row r="129" customFormat="false" ht="15" hidden="false" customHeight="false" outlineLevel="0" collapsed="false">
      <c r="A129" s="18"/>
      <c r="B129" s="38"/>
      <c r="C129" s="39"/>
      <c r="D129" s="38"/>
      <c r="E129" s="19"/>
      <c r="F129" s="38"/>
      <c r="G129" s="40"/>
      <c r="H129" s="18"/>
      <c r="I129" s="41" t="str">
        <f aca="false">IF(COUNTA($A129:$F129)=0,"",IF($B129="","",IFERROR(INDEX(Ranges!$B$5:$B$16,MATCH($B129,Ranges!$A$5:$A$16,0)),"")))</f>
        <v/>
      </c>
      <c r="J129" s="41" t="str">
        <f aca="false">IF(COUNTA($A129:$F129)=0,"",IF($B129="","",IFERROR(INDEX(Ranges!$C$5:$C$16,MATCH($B129,Ranges!$A$5:$A$16,0)),"")))</f>
        <v/>
      </c>
      <c r="K129" s="41" t="str">
        <f aca="false">IF(COUNTA($A129:$F129)=0,"",IF($B129="","",IFERROR(INDEX(Ranges!$D$5:$D$16,MATCH($B129,Ranges!$A$5:$A$16,0)),"")))</f>
        <v/>
      </c>
      <c r="L129" s="42" t="str">
        <f aca="false">IF(OR(NOT(ISNUMBER($E129)),NOT(ISNUMBER(J129))),"",IF(J129&gt;0,$E129/J129,""))</f>
        <v/>
      </c>
      <c r="M129" s="43" t="str">
        <f aca="false">IF(OR(NOT(ISNUMBER($E129)),NOT(ISNUMBER(I129)),NOT(ISNUMBER(K129))),"",IF(K129&gt;I129,($E129-I129)/(K129-I129),""))</f>
        <v/>
      </c>
      <c r="N129" s="42" t="str">
        <f aca="false">IF(Basis="Compa-ratio",L129,M129)</f>
        <v/>
      </c>
      <c r="O129" s="44" t="str">
        <f aca="false">IF(ISNUMBER(N129),IFERROR(MATCH(N129,Matrix!$C$9:$G$9,1),1),"")</f>
        <v/>
      </c>
      <c r="P129" s="45" t="str">
        <f aca="false">IF(COUNTA($A129:$F129)=0,"",IF(Q129="","Y","N"))</f>
        <v/>
      </c>
      <c r="Q129" s="46" t="str">
        <f aca="false">IF(COUNTA($A129:$F129)=0,"",IF($A129="","ID missing",IF(TRIM($F129)="Exclude","Excluded by plan status",IF(AND(TRIM($F129)&lt;&gt;"",TRIM($F129)&lt;&gt;"Include"),"Plan status not valid (use Include or Exclude)",IF(NOT(ISNUMBER($C129)),"Hire date missing or not a date",IF($C129&gt;Cutoff,"Hired after cutoff",IF(NOT(ISNUMBER($E129)),"Salary missing or not a number",IF($E129&lt;=0,"Salary missing or not a number",IF(OR(NOT(ISNUMBER(I129)),NOT(ISNUMBER(J129)),NOT(ISNUMBER(K129))),"Grade not found in Ranges",IF($D129="","Rating missing",IF($D129="NR","Not rated (NR)",IF(NOT(ISNUMBER(MATCH($D129,Matrix!$A$14:$A$18,0))),"Rating not valid (use 1 to 5 or NR)",IF(NOT(ISNUMBER(O129)),"Band not found (check range and limits)","")))))))))))))</f>
        <v/>
      </c>
      <c r="R129" s="47" t="str">
        <f aca="false">IF($P129="Y",INDEX(Matrix!$C$14:$G$18,MATCH($D129,Matrix!$A$14:$A$18,0),$O129),IF($P129="N",0,""))</f>
        <v/>
      </c>
      <c r="S129" s="47" t="str">
        <f aca="false">IF($P129="Y",IF(AND(ISNUMBER($G129),$G129&gt;=0,$G129&lt;=1),$G129,$R129),IF($P129="N",0,""))</f>
        <v/>
      </c>
      <c r="T129" s="48" t="str">
        <f aca="false">IF($P129&lt;&gt;"Y",IF($P129="N",0,""),IF(ProrateMethod="None",1,IF($C129&lt;=PeriodStart,1,IF(ProrateMethod="Daily",MAX(0,MIN(1,(PeriodEnd-$C129+1)/(PeriodEnd-PeriodStart+1))),MAX(0,MIN(1,((YEAR(PeriodEnd)-YEAR($C129))*12+MONTH(PeriodEnd)-MONTH($C129)+1-IF(DAY($C129)&gt;MonthCutDay,1,0))/PeriodMonths))))))</f>
        <v/>
      </c>
      <c r="U129" s="47" t="str">
        <f aca="false">IF($P129="","",$S129*$T129)</f>
        <v/>
      </c>
      <c r="V129" s="49" t="str">
        <f aca="false">IF($P129="","",IF(ISNUMBER($E129),$E129,0)*$R129)</f>
        <v/>
      </c>
      <c r="W129" s="49" t="str">
        <f aca="false">IF($P129="","",IF(ISNUMBER($E129),$E129,0)*$S129)</f>
        <v/>
      </c>
      <c r="X129" s="49" t="str">
        <f aca="false">IF($P129="","",IF(ISNUMBER($E129),$E129,0)*$U129)</f>
        <v/>
      </c>
      <c r="Y129" s="49" t="str">
        <f aca="false">IF($P129="","",IF(AND(CapAtMax="Yes",$P129="Y"),MAX(0,MIN($X129,$K129-$E129)),$X129))</f>
        <v/>
      </c>
      <c r="Z129" s="41" t="str">
        <f aca="false">IF(OR($P129="",NOT(ISNUMBER($E129))),"",$E129+$Y129)</f>
        <v/>
      </c>
      <c r="AA129" s="42" t="str">
        <f aca="false">IF(AND(ISNUMBER(Z129),ISNUMBER(J129)),IF(J129&gt;0,Z129/J129,""),"")</f>
        <v/>
      </c>
      <c r="AB129" s="46" t="str">
        <f aca="false">IF($P129="","",TRIM(IF(AND($P129="Y",ISNUMBER(K129),ISNUMBER(Z129)),IF(Z129&gt;K129,"Above range max. ",""),"")&amp;IF(AND($P129="Y",ISNUMBER($X129),ISNUMBER($Y129)),IF($X129-$Y129&gt;0.005,"Capped at range max. ",""),"")&amp;IF(AND(AND(ISNUMBER($G129),$G129&gt;=0,$G129&lt;=1),$H129=""),"Override needs a reason. ","")&amp;IF(AND(AND(ISNUMBER($G129),$G129&gt;=0,$G129&lt;=1),$P129&lt;&gt;"Y"),"Override ignored. ","")&amp;IF(AND($G129&lt;&gt;"",NOT(AND(ISNUMBER($G129),$G129&gt;=0,$G129&lt;=1))),"Override not valid, ignored. ","")&amp;IF(AND($A129&lt;&gt;"",COUNTIF($A$5:$A$254,$A129)&gt;1),"Duplicate ID. ","")))</f>
        <v/>
      </c>
    </row>
    <row r="130" customFormat="false" ht="15" hidden="false" customHeight="false" outlineLevel="0" collapsed="false">
      <c r="A130" s="18"/>
      <c r="B130" s="38"/>
      <c r="C130" s="39"/>
      <c r="D130" s="38"/>
      <c r="E130" s="19"/>
      <c r="F130" s="38"/>
      <c r="G130" s="40"/>
      <c r="H130" s="18"/>
      <c r="I130" s="41" t="str">
        <f aca="false">IF(COUNTA($A130:$F130)=0,"",IF($B130="","",IFERROR(INDEX(Ranges!$B$5:$B$16,MATCH($B130,Ranges!$A$5:$A$16,0)),"")))</f>
        <v/>
      </c>
      <c r="J130" s="41" t="str">
        <f aca="false">IF(COUNTA($A130:$F130)=0,"",IF($B130="","",IFERROR(INDEX(Ranges!$C$5:$C$16,MATCH($B130,Ranges!$A$5:$A$16,0)),"")))</f>
        <v/>
      </c>
      <c r="K130" s="41" t="str">
        <f aca="false">IF(COUNTA($A130:$F130)=0,"",IF($B130="","",IFERROR(INDEX(Ranges!$D$5:$D$16,MATCH($B130,Ranges!$A$5:$A$16,0)),"")))</f>
        <v/>
      </c>
      <c r="L130" s="42" t="str">
        <f aca="false">IF(OR(NOT(ISNUMBER($E130)),NOT(ISNUMBER(J130))),"",IF(J130&gt;0,$E130/J130,""))</f>
        <v/>
      </c>
      <c r="M130" s="43" t="str">
        <f aca="false">IF(OR(NOT(ISNUMBER($E130)),NOT(ISNUMBER(I130)),NOT(ISNUMBER(K130))),"",IF(K130&gt;I130,($E130-I130)/(K130-I130),""))</f>
        <v/>
      </c>
      <c r="N130" s="42" t="str">
        <f aca="false">IF(Basis="Compa-ratio",L130,M130)</f>
        <v/>
      </c>
      <c r="O130" s="44" t="str">
        <f aca="false">IF(ISNUMBER(N130),IFERROR(MATCH(N130,Matrix!$C$9:$G$9,1),1),"")</f>
        <v/>
      </c>
      <c r="P130" s="45" t="str">
        <f aca="false">IF(COUNTA($A130:$F130)=0,"",IF(Q130="","Y","N"))</f>
        <v/>
      </c>
      <c r="Q130" s="46" t="str">
        <f aca="false">IF(COUNTA($A130:$F130)=0,"",IF($A130="","ID missing",IF(TRIM($F130)="Exclude","Excluded by plan status",IF(AND(TRIM($F130)&lt;&gt;"",TRIM($F130)&lt;&gt;"Include"),"Plan status not valid (use Include or Exclude)",IF(NOT(ISNUMBER($C130)),"Hire date missing or not a date",IF($C130&gt;Cutoff,"Hired after cutoff",IF(NOT(ISNUMBER($E130)),"Salary missing or not a number",IF($E130&lt;=0,"Salary missing or not a number",IF(OR(NOT(ISNUMBER(I130)),NOT(ISNUMBER(J130)),NOT(ISNUMBER(K130))),"Grade not found in Ranges",IF($D130="","Rating missing",IF($D130="NR","Not rated (NR)",IF(NOT(ISNUMBER(MATCH($D130,Matrix!$A$14:$A$18,0))),"Rating not valid (use 1 to 5 or NR)",IF(NOT(ISNUMBER(O130)),"Band not found (check range and limits)","")))))))))))))</f>
        <v/>
      </c>
      <c r="R130" s="47" t="str">
        <f aca="false">IF($P130="Y",INDEX(Matrix!$C$14:$G$18,MATCH($D130,Matrix!$A$14:$A$18,0),$O130),IF($P130="N",0,""))</f>
        <v/>
      </c>
      <c r="S130" s="47" t="str">
        <f aca="false">IF($P130="Y",IF(AND(ISNUMBER($G130),$G130&gt;=0,$G130&lt;=1),$G130,$R130),IF($P130="N",0,""))</f>
        <v/>
      </c>
      <c r="T130" s="48" t="str">
        <f aca="false">IF($P130&lt;&gt;"Y",IF($P130="N",0,""),IF(ProrateMethod="None",1,IF($C130&lt;=PeriodStart,1,IF(ProrateMethod="Daily",MAX(0,MIN(1,(PeriodEnd-$C130+1)/(PeriodEnd-PeriodStart+1))),MAX(0,MIN(1,((YEAR(PeriodEnd)-YEAR($C130))*12+MONTH(PeriodEnd)-MONTH($C130)+1-IF(DAY($C130)&gt;MonthCutDay,1,0))/PeriodMonths))))))</f>
        <v/>
      </c>
      <c r="U130" s="47" t="str">
        <f aca="false">IF($P130="","",$S130*$T130)</f>
        <v/>
      </c>
      <c r="V130" s="49" t="str">
        <f aca="false">IF($P130="","",IF(ISNUMBER($E130),$E130,0)*$R130)</f>
        <v/>
      </c>
      <c r="W130" s="49" t="str">
        <f aca="false">IF($P130="","",IF(ISNUMBER($E130),$E130,0)*$S130)</f>
        <v/>
      </c>
      <c r="X130" s="49" t="str">
        <f aca="false">IF($P130="","",IF(ISNUMBER($E130),$E130,0)*$U130)</f>
        <v/>
      </c>
      <c r="Y130" s="49" t="str">
        <f aca="false">IF($P130="","",IF(AND(CapAtMax="Yes",$P130="Y"),MAX(0,MIN($X130,$K130-$E130)),$X130))</f>
        <v/>
      </c>
      <c r="Z130" s="41" t="str">
        <f aca="false">IF(OR($P130="",NOT(ISNUMBER($E130))),"",$E130+$Y130)</f>
        <v/>
      </c>
      <c r="AA130" s="42" t="str">
        <f aca="false">IF(AND(ISNUMBER(Z130),ISNUMBER(J130)),IF(J130&gt;0,Z130/J130,""),"")</f>
        <v/>
      </c>
      <c r="AB130" s="46" t="str">
        <f aca="false">IF($P130="","",TRIM(IF(AND($P130="Y",ISNUMBER(K130),ISNUMBER(Z130)),IF(Z130&gt;K130,"Above range max. ",""),"")&amp;IF(AND($P130="Y",ISNUMBER($X130),ISNUMBER($Y130)),IF($X130-$Y130&gt;0.005,"Capped at range max. ",""),"")&amp;IF(AND(AND(ISNUMBER($G130),$G130&gt;=0,$G130&lt;=1),$H130=""),"Override needs a reason. ","")&amp;IF(AND(AND(ISNUMBER($G130),$G130&gt;=0,$G130&lt;=1),$P130&lt;&gt;"Y"),"Override ignored. ","")&amp;IF(AND($G130&lt;&gt;"",NOT(AND(ISNUMBER($G130),$G130&gt;=0,$G130&lt;=1))),"Override not valid, ignored. ","")&amp;IF(AND($A130&lt;&gt;"",COUNTIF($A$5:$A$254,$A130)&gt;1),"Duplicate ID. ","")))</f>
        <v/>
      </c>
    </row>
    <row r="131" customFormat="false" ht="15" hidden="false" customHeight="false" outlineLevel="0" collapsed="false">
      <c r="A131" s="18"/>
      <c r="B131" s="38"/>
      <c r="C131" s="39"/>
      <c r="D131" s="38"/>
      <c r="E131" s="19"/>
      <c r="F131" s="38"/>
      <c r="G131" s="40"/>
      <c r="H131" s="18"/>
      <c r="I131" s="41" t="str">
        <f aca="false">IF(COUNTA($A131:$F131)=0,"",IF($B131="","",IFERROR(INDEX(Ranges!$B$5:$B$16,MATCH($B131,Ranges!$A$5:$A$16,0)),"")))</f>
        <v/>
      </c>
      <c r="J131" s="41" t="str">
        <f aca="false">IF(COUNTA($A131:$F131)=0,"",IF($B131="","",IFERROR(INDEX(Ranges!$C$5:$C$16,MATCH($B131,Ranges!$A$5:$A$16,0)),"")))</f>
        <v/>
      </c>
      <c r="K131" s="41" t="str">
        <f aca="false">IF(COUNTA($A131:$F131)=0,"",IF($B131="","",IFERROR(INDEX(Ranges!$D$5:$D$16,MATCH($B131,Ranges!$A$5:$A$16,0)),"")))</f>
        <v/>
      </c>
      <c r="L131" s="42" t="str">
        <f aca="false">IF(OR(NOT(ISNUMBER($E131)),NOT(ISNUMBER(J131))),"",IF(J131&gt;0,$E131/J131,""))</f>
        <v/>
      </c>
      <c r="M131" s="43" t="str">
        <f aca="false">IF(OR(NOT(ISNUMBER($E131)),NOT(ISNUMBER(I131)),NOT(ISNUMBER(K131))),"",IF(K131&gt;I131,($E131-I131)/(K131-I131),""))</f>
        <v/>
      </c>
      <c r="N131" s="42" t="str">
        <f aca="false">IF(Basis="Compa-ratio",L131,M131)</f>
        <v/>
      </c>
      <c r="O131" s="44" t="str">
        <f aca="false">IF(ISNUMBER(N131),IFERROR(MATCH(N131,Matrix!$C$9:$G$9,1),1),"")</f>
        <v/>
      </c>
      <c r="P131" s="45" t="str">
        <f aca="false">IF(COUNTA($A131:$F131)=0,"",IF(Q131="","Y","N"))</f>
        <v/>
      </c>
      <c r="Q131" s="46" t="str">
        <f aca="false">IF(COUNTA($A131:$F131)=0,"",IF($A131="","ID missing",IF(TRIM($F131)="Exclude","Excluded by plan status",IF(AND(TRIM($F131)&lt;&gt;"",TRIM($F131)&lt;&gt;"Include"),"Plan status not valid (use Include or Exclude)",IF(NOT(ISNUMBER($C131)),"Hire date missing or not a date",IF($C131&gt;Cutoff,"Hired after cutoff",IF(NOT(ISNUMBER($E131)),"Salary missing or not a number",IF($E131&lt;=0,"Salary missing or not a number",IF(OR(NOT(ISNUMBER(I131)),NOT(ISNUMBER(J131)),NOT(ISNUMBER(K131))),"Grade not found in Ranges",IF($D131="","Rating missing",IF($D131="NR","Not rated (NR)",IF(NOT(ISNUMBER(MATCH($D131,Matrix!$A$14:$A$18,0))),"Rating not valid (use 1 to 5 or NR)",IF(NOT(ISNUMBER(O131)),"Band not found (check range and limits)","")))))))))))))</f>
        <v/>
      </c>
      <c r="R131" s="47" t="str">
        <f aca="false">IF($P131="Y",INDEX(Matrix!$C$14:$G$18,MATCH($D131,Matrix!$A$14:$A$18,0),$O131),IF($P131="N",0,""))</f>
        <v/>
      </c>
      <c r="S131" s="47" t="str">
        <f aca="false">IF($P131="Y",IF(AND(ISNUMBER($G131),$G131&gt;=0,$G131&lt;=1),$G131,$R131),IF($P131="N",0,""))</f>
        <v/>
      </c>
      <c r="T131" s="48" t="str">
        <f aca="false">IF($P131&lt;&gt;"Y",IF($P131="N",0,""),IF(ProrateMethod="None",1,IF($C131&lt;=PeriodStart,1,IF(ProrateMethod="Daily",MAX(0,MIN(1,(PeriodEnd-$C131+1)/(PeriodEnd-PeriodStart+1))),MAX(0,MIN(1,((YEAR(PeriodEnd)-YEAR($C131))*12+MONTH(PeriodEnd)-MONTH($C131)+1-IF(DAY($C131)&gt;MonthCutDay,1,0))/PeriodMonths))))))</f>
        <v/>
      </c>
      <c r="U131" s="47" t="str">
        <f aca="false">IF($P131="","",$S131*$T131)</f>
        <v/>
      </c>
      <c r="V131" s="49" t="str">
        <f aca="false">IF($P131="","",IF(ISNUMBER($E131),$E131,0)*$R131)</f>
        <v/>
      </c>
      <c r="W131" s="49" t="str">
        <f aca="false">IF($P131="","",IF(ISNUMBER($E131),$E131,0)*$S131)</f>
        <v/>
      </c>
      <c r="X131" s="49" t="str">
        <f aca="false">IF($P131="","",IF(ISNUMBER($E131),$E131,0)*$U131)</f>
        <v/>
      </c>
      <c r="Y131" s="49" t="str">
        <f aca="false">IF($P131="","",IF(AND(CapAtMax="Yes",$P131="Y"),MAX(0,MIN($X131,$K131-$E131)),$X131))</f>
        <v/>
      </c>
      <c r="Z131" s="41" t="str">
        <f aca="false">IF(OR($P131="",NOT(ISNUMBER($E131))),"",$E131+$Y131)</f>
        <v/>
      </c>
      <c r="AA131" s="42" t="str">
        <f aca="false">IF(AND(ISNUMBER(Z131),ISNUMBER(J131)),IF(J131&gt;0,Z131/J131,""),"")</f>
        <v/>
      </c>
      <c r="AB131" s="46" t="str">
        <f aca="false">IF($P131="","",TRIM(IF(AND($P131="Y",ISNUMBER(K131),ISNUMBER(Z131)),IF(Z131&gt;K131,"Above range max. ",""),"")&amp;IF(AND($P131="Y",ISNUMBER($X131),ISNUMBER($Y131)),IF($X131-$Y131&gt;0.005,"Capped at range max. ",""),"")&amp;IF(AND(AND(ISNUMBER($G131),$G131&gt;=0,$G131&lt;=1),$H131=""),"Override needs a reason. ","")&amp;IF(AND(AND(ISNUMBER($G131),$G131&gt;=0,$G131&lt;=1),$P131&lt;&gt;"Y"),"Override ignored. ","")&amp;IF(AND($G131&lt;&gt;"",NOT(AND(ISNUMBER($G131),$G131&gt;=0,$G131&lt;=1))),"Override not valid, ignored. ","")&amp;IF(AND($A131&lt;&gt;"",COUNTIF($A$5:$A$254,$A131)&gt;1),"Duplicate ID. ","")))</f>
        <v/>
      </c>
    </row>
    <row r="132" customFormat="false" ht="15" hidden="false" customHeight="false" outlineLevel="0" collapsed="false">
      <c r="A132" s="18"/>
      <c r="B132" s="38"/>
      <c r="C132" s="39"/>
      <c r="D132" s="38"/>
      <c r="E132" s="19"/>
      <c r="F132" s="38"/>
      <c r="G132" s="40"/>
      <c r="H132" s="18"/>
      <c r="I132" s="41" t="str">
        <f aca="false">IF(COUNTA($A132:$F132)=0,"",IF($B132="","",IFERROR(INDEX(Ranges!$B$5:$B$16,MATCH($B132,Ranges!$A$5:$A$16,0)),"")))</f>
        <v/>
      </c>
      <c r="J132" s="41" t="str">
        <f aca="false">IF(COUNTA($A132:$F132)=0,"",IF($B132="","",IFERROR(INDEX(Ranges!$C$5:$C$16,MATCH($B132,Ranges!$A$5:$A$16,0)),"")))</f>
        <v/>
      </c>
      <c r="K132" s="41" t="str">
        <f aca="false">IF(COUNTA($A132:$F132)=0,"",IF($B132="","",IFERROR(INDEX(Ranges!$D$5:$D$16,MATCH($B132,Ranges!$A$5:$A$16,0)),"")))</f>
        <v/>
      </c>
      <c r="L132" s="42" t="str">
        <f aca="false">IF(OR(NOT(ISNUMBER($E132)),NOT(ISNUMBER(J132))),"",IF(J132&gt;0,$E132/J132,""))</f>
        <v/>
      </c>
      <c r="M132" s="43" t="str">
        <f aca="false">IF(OR(NOT(ISNUMBER($E132)),NOT(ISNUMBER(I132)),NOT(ISNUMBER(K132))),"",IF(K132&gt;I132,($E132-I132)/(K132-I132),""))</f>
        <v/>
      </c>
      <c r="N132" s="42" t="str">
        <f aca="false">IF(Basis="Compa-ratio",L132,M132)</f>
        <v/>
      </c>
      <c r="O132" s="44" t="str">
        <f aca="false">IF(ISNUMBER(N132),IFERROR(MATCH(N132,Matrix!$C$9:$G$9,1),1),"")</f>
        <v/>
      </c>
      <c r="P132" s="45" t="str">
        <f aca="false">IF(COUNTA($A132:$F132)=0,"",IF(Q132="","Y","N"))</f>
        <v/>
      </c>
      <c r="Q132" s="46" t="str">
        <f aca="false">IF(COUNTA($A132:$F132)=0,"",IF($A132="","ID missing",IF(TRIM($F132)="Exclude","Excluded by plan status",IF(AND(TRIM($F132)&lt;&gt;"",TRIM($F132)&lt;&gt;"Include"),"Plan status not valid (use Include or Exclude)",IF(NOT(ISNUMBER($C132)),"Hire date missing or not a date",IF($C132&gt;Cutoff,"Hired after cutoff",IF(NOT(ISNUMBER($E132)),"Salary missing or not a number",IF($E132&lt;=0,"Salary missing or not a number",IF(OR(NOT(ISNUMBER(I132)),NOT(ISNUMBER(J132)),NOT(ISNUMBER(K132))),"Grade not found in Ranges",IF($D132="","Rating missing",IF($D132="NR","Not rated (NR)",IF(NOT(ISNUMBER(MATCH($D132,Matrix!$A$14:$A$18,0))),"Rating not valid (use 1 to 5 or NR)",IF(NOT(ISNUMBER(O132)),"Band not found (check range and limits)","")))))))))))))</f>
        <v/>
      </c>
      <c r="R132" s="47" t="str">
        <f aca="false">IF($P132="Y",INDEX(Matrix!$C$14:$G$18,MATCH($D132,Matrix!$A$14:$A$18,0),$O132),IF($P132="N",0,""))</f>
        <v/>
      </c>
      <c r="S132" s="47" t="str">
        <f aca="false">IF($P132="Y",IF(AND(ISNUMBER($G132),$G132&gt;=0,$G132&lt;=1),$G132,$R132),IF($P132="N",0,""))</f>
        <v/>
      </c>
      <c r="T132" s="48" t="str">
        <f aca="false">IF($P132&lt;&gt;"Y",IF($P132="N",0,""),IF(ProrateMethod="None",1,IF($C132&lt;=PeriodStart,1,IF(ProrateMethod="Daily",MAX(0,MIN(1,(PeriodEnd-$C132+1)/(PeriodEnd-PeriodStart+1))),MAX(0,MIN(1,((YEAR(PeriodEnd)-YEAR($C132))*12+MONTH(PeriodEnd)-MONTH($C132)+1-IF(DAY($C132)&gt;MonthCutDay,1,0))/PeriodMonths))))))</f>
        <v/>
      </c>
      <c r="U132" s="47" t="str">
        <f aca="false">IF($P132="","",$S132*$T132)</f>
        <v/>
      </c>
      <c r="V132" s="49" t="str">
        <f aca="false">IF($P132="","",IF(ISNUMBER($E132),$E132,0)*$R132)</f>
        <v/>
      </c>
      <c r="W132" s="49" t="str">
        <f aca="false">IF($P132="","",IF(ISNUMBER($E132),$E132,0)*$S132)</f>
        <v/>
      </c>
      <c r="X132" s="49" t="str">
        <f aca="false">IF($P132="","",IF(ISNUMBER($E132),$E132,0)*$U132)</f>
        <v/>
      </c>
      <c r="Y132" s="49" t="str">
        <f aca="false">IF($P132="","",IF(AND(CapAtMax="Yes",$P132="Y"),MAX(0,MIN($X132,$K132-$E132)),$X132))</f>
        <v/>
      </c>
      <c r="Z132" s="41" t="str">
        <f aca="false">IF(OR($P132="",NOT(ISNUMBER($E132))),"",$E132+$Y132)</f>
        <v/>
      </c>
      <c r="AA132" s="42" t="str">
        <f aca="false">IF(AND(ISNUMBER(Z132),ISNUMBER(J132)),IF(J132&gt;0,Z132/J132,""),"")</f>
        <v/>
      </c>
      <c r="AB132" s="46" t="str">
        <f aca="false">IF($P132="","",TRIM(IF(AND($P132="Y",ISNUMBER(K132),ISNUMBER(Z132)),IF(Z132&gt;K132,"Above range max. ",""),"")&amp;IF(AND($P132="Y",ISNUMBER($X132),ISNUMBER($Y132)),IF($X132-$Y132&gt;0.005,"Capped at range max. ",""),"")&amp;IF(AND(AND(ISNUMBER($G132),$G132&gt;=0,$G132&lt;=1),$H132=""),"Override needs a reason. ","")&amp;IF(AND(AND(ISNUMBER($G132),$G132&gt;=0,$G132&lt;=1),$P132&lt;&gt;"Y"),"Override ignored. ","")&amp;IF(AND($G132&lt;&gt;"",NOT(AND(ISNUMBER($G132),$G132&gt;=0,$G132&lt;=1))),"Override not valid, ignored. ","")&amp;IF(AND($A132&lt;&gt;"",COUNTIF($A$5:$A$254,$A132)&gt;1),"Duplicate ID. ","")))</f>
        <v/>
      </c>
    </row>
    <row r="133" customFormat="false" ht="15" hidden="false" customHeight="false" outlineLevel="0" collapsed="false">
      <c r="A133" s="18"/>
      <c r="B133" s="38"/>
      <c r="C133" s="39"/>
      <c r="D133" s="38"/>
      <c r="E133" s="19"/>
      <c r="F133" s="38"/>
      <c r="G133" s="40"/>
      <c r="H133" s="18"/>
      <c r="I133" s="41" t="str">
        <f aca="false">IF(COUNTA($A133:$F133)=0,"",IF($B133="","",IFERROR(INDEX(Ranges!$B$5:$B$16,MATCH($B133,Ranges!$A$5:$A$16,0)),"")))</f>
        <v/>
      </c>
      <c r="J133" s="41" t="str">
        <f aca="false">IF(COUNTA($A133:$F133)=0,"",IF($B133="","",IFERROR(INDEX(Ranges!$C$5:$C$16,MATCH($B133,Ranges!$A$5:$A$16,0)),"")))</f>
        <v/>
      </c>
      <c r="K133" s="41" t="str">
        <f aca="false">IF(COUNTA($A133:$F133)=0,"",IF($B133="","",IFERROR(INDEX(Ranges!$D$5:$D$16,MATCH($B133,Ranges!$A$5:$A$16,0)),"")))</f>
        <v/>
      </c>
      <c r="L133" s="42" t="str">
        <f aca="false">IF(OR(NOT(ISNUMBER($E133)),NOT(ISNUMBER(J133))),"",IF(J133&gt;0,$E133/J133,""))</f>
        <v/>
      </c>
      <c r="M133" s="43" t="str">
        <f aca="false">IF(OR(NOT(ISNUMBER($E133)),NOT(ISNUMBER(I133)),NOT(ISNUMBER(K133))),"",IF(K133&gt;I133,($E133-I133)/(K133-I133),""))</f>
        <v/>
      </c>
      <c r="N133" s="42" t="str">
        <f aca="false">IF(Basis="Compa-ratio",L133,M133)</f>
        <v/>
      </c>
      <c r="O133" s="44" t="str">
        <f aca="false">IF(ISNUMBER(N133),IFERROR(MATCH(N133,Matrix!$C$9:$G$9,1),1),"")</f>
        <v/>
      </c>
      <c r="P133" s="45" t="str">
        <f aca="false">IF(COUNTA($A133:$F133)=0,"",IF(Q133="","Y","N"))</f>
        <v/>
      </c>
      <c r="Q133" s="46" t="str">
        <f aca="false">IF(COUNTA($A133:$F133)=0,"",IF($A133="","ID missing",IF(TRIM($F133)="Exclude","Excluded by plan status",IF(AND(TRIM($F133)&lt;&gt;"",TRIM($F133)&lt;&gt;"Include"),"Plan status not valid (use Include or Exclude)",IF(NOT(ISNUMBER($C133)),"Hire date missing or not a date",IF($C133&gt;Cutoff,"Hired after cutoff",IF(NOT(ISNUMBER($E133)),"Salary missing or not a number",IF($E133&lt;=0,"Salary missing or not a number",IF(OR(NOT(ISNUMBER(I133)),NOT(ISNUMBER(J133)),NOT(ISNUMBER(K133))),"Grade not found in Ranges",IF($D133="","Rating missing",IF($D133="NR","Not rated (NR)",IF(NOT(ISNUMBER(MATCH($D133,Matrix!$A$14:$A$18,0))),"Rating not valid (use 1 to 5 or NR)",IF(NOT(ISNUMBER(O133)),"Band not found (check range and limits)","")))))))))))))</f>
        <v/>
      </c>
      <c r="R133" s="47" t="str">
        <f aca="false">IF($P133="Y",INDEX(Matrix!$C$14:$G$18,MATCH($D133,Matrix!$A$14:$A$18,0),$O133),IF($P133="N",0,""))</f>
        <v/>
      </c>
      <c r="S133" s="47" t="str">
        <f aca="false">IF($P133="Y",IF(AND(ISNUMBER($G133),$G133&gt;=0,$G133&lt;=1),$G133,$R133),IF($P133="N",0,""))</f>
        <v/>
      </c>
      <c r="T133" s="48" t="str">
        <f aca="false">IF($P133&lt;&gt;"Y",IF($P133="N",0,""),IF(ProrateMethod="None",1,IF($C133&lt;=PeriodStart,1,IF(ProrateMethod="Daily",MAX(0,MIN(1,(PeriodEnd-$C133+1)/(PeriodEnd-PeriodStart+1))),MAX(0,MIN(1,((YEAR(PeriodEnd)-YEAR($C133))*12+MONTH(PeriodEnd)-MONTH($C133)+1-IF(DAY($C133)&gt;MonthCutDay,1,0))/PeriodMonths))))))</f>
        <v/>
      </c>
      <c r="U133" s="47" t="str">
        <f aca="false">IF($P133="","",$S133*$T133)</f>
        <v/>
      </c>
      <c r="V133" s="49" t="str">
        <f aca="false">IF($P133="","",IF(ISNUMBER($E133),$E133,0)*$R133)</f>
        <v/>
      </c>
      <c r="W133" s="49" t="str">
        <f aca="false">IF($P133="","",IF(ISNUMBER($E133),$E133,0)*$S133)</f>
        <v/>
      </c>
      <c r="X133" s="49" t="str">
        <f aca="false">IF($P133="","",IF(ISNUMBER($E133),$E133,0)*$U133)</f>
        <v/>
      </c>
      <c r="Y133" s="49" t="str">
        <f aca="false">IF($P133="","",IF(AND(CapAtMax="Yes",$P133="Y"),MAX(0,MIN($X133,$K133-$E133)),$X133))</f>
        <v/>
      </c>
      <c r="Z133" s="41" t="str">
        <f aca="false">IF(OR($P133="",NOT(ISNUMBER($E133))),"",$E133+$Y133)</f>
        <v/>
      </c>
      <c r="AA133" s="42" t="str">
        <f aca="false">IF(AND(ISNUMBER(Z133),ISNUMBER(J133)),IF(J133&gt;0,Z133/J133,""),"")</f>
        <v/>
      </c>
      <c r="AB133" s="46" t="str">
        <f aca="false">IF($P133="","",TRIM(IF(AND($P133="Y",ISNUMBER(K133),ISNUMBER(Z133)),IF(Z133&gt;K133,"Above range max. ",""),"")&amp;IF(AND($P133="Y",ISNUMBER($X133),ISNUMBER($Y133)),IF($X133-$Y133&gt;0.005,"Capped at range max. ",""),"")&amp;IF(AND(AND(ISNUMBER($G133),$G133&gt;=0,$G133&lt;=1),$H133=""),"Override needs a reason. ","")&amp;IF(AND(AND(ISNUMBER($G133),$G133&gt;=0,$G133&lt;=1),$P133&lt;&gt;"Y"),"Override ignored. ","")&amp;IF(AND($G133&lt;&gt;"",NOT(AND(ISNUMBER($G133),$G133&gt;=0,$G133&lt;=1))),"Override not valid, ignored. ","")&amp;IF(AND($A133&lt;&gt;"",COUNTIF($A$5:$A$254,$A133)&gt;1),"Duplicate ID. ","")))</f>
        <v/>
      </c>
    </row>
    <row r="134" customFormat="false" ht="15" hidden="false" customHeight="false" outlineLevel="0" collapsed="false">
      <c r="A134" s="18"/>
      <c r="B134" s="38"/>
      <c r="C134" s="39"/>
      <c r="D134" s="38"/>
      <c r="E134" s="19"/>
      <c r="F134" s="38"/>
      <c r="G134" s="40"/>
      <c r="H134" s="18"/>
      <c r="I134" s="41" t="str">
        <f aca="false">IF(COUNTA($A134:$F134)=0,"",IF($B134="","",IFERROR(INDEX(Ranges!$B$5:$B$16,MATCH($B134,Ranges!$A$5:$A$16,0)),"")))</f>
        <v/>
      </c>
      <c r="J134" s="41" t="str">
        <f aca="false">IF(COUNTA($A134:$F134)=0,"",IF($B134="","",IFERROR(INDEX(Ranges!$C$5:$C$16,MATCH($B134,Ranges!$A$5:$A$16,0)),"")))</f>
        <v/>
      </c>
      <c r="K134" s="41" t="str">
        <f aca="false">IF(COUNTA($A134:$F134)=0,"",IF($B134="","",IFERROR(INDEX(Ranges!$D$5:$D$16,MATCH($B134,Ranges!$A$5:$A$16,0)),"")))</f>
        <v/>
      </c>
      <c r="L134" s="42" t="str">
        <f aca="false">IF(OR(NOT(ISNUMBER($E134)),NOT(ISNUMBER(J134))),"",IF(J134&gt;0,$E134/J134,""))</f>
        <v/>
      </c>
      <c r="M134" s="43" t="str">
        <f aca="false">IF(OR(NOT(ISNUMBER($E134)),NOT(ISNUMBER(I134)),NOT(ISNUMBER(K134))),"",IF(K134&gt;I134,($E134-I134)/(K134-I134),""))</f>
        <v/>
      </c>
      <c r="N134" s="42" t="str">
        <f aca="false">IF(Basis="Compa-ratio",L134,M134)</f>
        <v/>
      </c>
      <c r="O134" s="44" t="str">
        <f aca="false">IF(ISNUMBER(N134),IFERROR(MATCH(N134,Matrix!$C$9:$G$9,1),1),"")</f>
        <v/>
      </c>
      <c r="P134" s="45" t="str">
        <f aca="false">IF(COUNTA($A134:$F134)=0,"",IF(Q134="","Y","N"))</f>
        <v/>
      </c>
      <c r="Q134" s="46" t="str">
        <f aca="false">IF(COUNTA($A134:$F134)=0,"",IF($A134="","ID missing",IF(TRIM($F134)="Exclude","Excluded by plan status",IF(AND(TRIM($F134)&lt;&gt;"",TRIM($F134)&lt;&gt;"Include"),"Plan status not valid (use Include or Exclude)",IF(NOT(ISNUMBER($C134)),"Hire date missing or not a date",IF($C134&gt;Cutoff,"Hired after cutoff",IF(NOT(ISNUMBER($E134)),"Salary missing or not a number",IF($E134&lt;=0,"Salary missing or not a number",IF(OR(NOT(ISNUMBER(I134)),NOT(ISNUMBER(J134)),NOT(ISNUMBER(K134))),"Grade not found in Ranges",IF($D134="","Rating missing",IF($D134="NR","Not rated (NR)",IF(NOT(ISNUMBER(MATCH($D134,Matrix!$A$14:$A$18,0))),"Rating not valid (use 1 to 5 or NR)",IF(NOT(ISNUMBER(O134)),"Band not found (check range and limits)","")))))))))))))</f>
        <v/>
      </c>
      <c r="R134" s="47" t="str">
        <f aca="false">IF($P134="Y",INDEX(Matrix!$C$14:$G$18,MATCH($D134,Matrix!$A$14:$A$18,0),$O134),IF($P134="N",0,""))</f>
        <v/>
      </c>
      <c r="S134" s="47" t="str">
        <f aca="false">IF($P134="Y",IF(AND(ISNUMBER($G134),$G134&gt;=0,$G134&lt;=1),$G134,$R134),IF($P134="N",0,""))</f>
        <v/>
      </c>
      <c r="T134" s="48" t="str">
        <f aca="false">IF($P134&lt;&gt;"Y",IF($P134="N",0,""),IF(ProrateMethod="None",1,IF($C134&lt;=PeriodStart,1,IF(ProrateMethod="Daily",MAX(0,MIN(1,(PeriodEnd-$C134+1)/(PeriodEnd-PeriodStart+1))),MAX(0,MIN(1,((YEAR(PeriodEnd)-YEAR($C134))*12+MONTH(PeriodEnd)-MONTH($C134)+1-IF(DAY($C134)&gt;MonthCutDay,1,0))/PeriodMonths))))))</f>
        <v/>
      </c>
      <c r="U134" s="47" t="str">
        <f aca="false">IF($P134="","",$S134*$T134)</f>
        <v/>
      </c>
      <c r="V134" s="49" t="str">
        <f aca="false">IF($P134="","",IF(ISNUMBER($E134),$E134,0)*$R134)</f>
        <v/>
      </c>
      <c r="W134" s="49" t="str">
        <f aca="false">IF($P134="","",IF(ISNUMBER($E134),$E134,0)*$S134)</f>
        <v/>
      </c>
      <c r="X134" s="49" t="str">
        <f aca="false">IF($P134="","",IF(ISNUMBER($E134),$E134,0)*$U134)</f>
        <v/>
      </c>
      <c r="Y134" s="49" t="str">
        <f aca="false">IF($P134="","",IF(AND(CapAtMax="Yes",$P134="Y"),MAX(0,MIN($X134,$K134-$E134)),$X134))</f>
        <v/>
      </c>
      <c r="Z134" s="41" t="str">
        <f aca="false">IF(OR($P134="",NOT(ISNUMBER($E134))),"",$E134+$Y134)</f>
        <v/>
      </c>
      <c r="AA134" s="42" t="str">
        <f aca="false">IF(AND(ISNUMBER(Z134),ISNUMBER(J134)),IF(J134&gt;0,Z134/J134,""),"")</f>
        <v/>
      </c>
      <c r="AB134" s="46" t="str">
        <f aca="false">IF($P134="","",TRIM(IF(AND($P134="Y",ISNUMBER(K134),ISNUMBER(Z134)),IF(Z134&gt;K134,"Above range max. ",""),"")&amp;IF(AND($P134="Y",ISNUMBER($X134),ISNUMBER($Y134)),IF($X134-$Y134&gt;0.005,"Capped at range max. ",""),"")&amp;IF(AND(AND(ISNUMBER($G134),$G134&gt;=0,$G134&lt;=1),$H134=""),"Override needs a reason. ","")&amp;IF(AND(AND(ISNUMBER($G134),$G134&gt;=0,$G134&lt;=1),$P134&lt;&gt;"Y"),"Override ignored. ","")&amp;IF(AND($G134&lt;&gt;"",NOT(AND(ISNUMBER($G134),$G134&gt;=0,$G134&lt;=1))),"Override not valid, ignored. ","")&amp;IF(AND($A134&lt;&gt;"",COUNTIF($A$5:$A$254,$A134)&gt;1),"Duplicate ID. ","")))</f>
        <v/>
      </c>
    </row>
    <row r="135" customFormat="false" ht="15" hidden="false" customHeight="false" outlineLevel="0" collapsed="false">
      <c r="A135" s="18"/>
      <c r="B135" s="38"/>
      <c r="C135" s="39"/>
      <c r="D135" s="38"/>
      <c r="E135" s="19"/>
      <c r="F135" s="38"/>
      <c r="G135" s="40"/>
      <c r="H135" s="18"/>
      <c r="I135" s="41" t="str">
        <f aca="false">IF(COUNTA($A135:$F135)=0,"",IF($B135="","",IFERROR(INDEX(Ranges!$B$5:$B$16,MATCH($B135,Ranges!$A$5:$A$16,0)),"")))</f>
        <v/>
      </c>
      <c r="J135" s="41" t="str">
        <f aca="false">IF(COUNTA($A135:$F135)=0,"",IF($B135="","",IFERROR(INDEX(Ranges!$C$5:$C$16,MATCH($B135,Ranges!$A$5:$A$16,0)),"")))</f>
        <v/>
      </c>
      <c r="K135" s="41" t="str">
        <f aca="false">IF(COUNTA($A135:$F135)=0,"",IF($B135="","",IFERROR(INDEX(Ranges!$D$5:$D$16,MATCH($B135,Ranges!$A$5:$A$16,0)),"")))</f>
        <v/>
      </c>
      <c r="L135" s="42" t="str">
        <f aca="false">IF(OR(NOT(ISNUMBER($E135)),NOT(ISNUMBER(J135))),"",IF(J135&gt;0,$E135/J135,""))</f>
        <v/>
      </c>
      <c r="M135" s="43" t="str">
        <f aca="false">IF(OR(NOT(ISNUMBER($E135)),NOT(ISNUMBER(I135)),NOT(ISNUMBER(K135))),"",IF(K135&gt;I135,($E135-I135)/(K135-I135),""))</f>
        <v/>
      </c>
      <c r="N135" s="42" t="str">
        <f aca="false">IF(Basis="Compa-ratio",L135,M135)</f>
        <v/>
      </c>
      <c r="O135" s="44" t="str">
        <f aca="false">IF(ISNUMBER(N135),IFERROR(MATCH(N135,Matrix!$C$9:$G$9,1),1),"")</f>
        <v/>
      </c>
      <c r="P135" s="45" t="str">
        <f aca="false">IF(COUNTA($A135:$F135)=0,"",IF(Q135="","Y","N"))</f>
        <v/>
      </c>
      <c r="Q135" s="46" t="str">
        <f aca="false">IF(COUNTA($A135:$F135)=0,"",IF($A135="","ID missing",IF(TRIM($F135)="Exclude","Excluded by plan status",IF(AND(TRIM($F135)&lt;&gt;"",TRIM($F135)&lt;&gt;"Include"),"Plan status not valid (use Include or Exclude)",IF(NOT(ISNUMBER($C135)),"Hire date missing or not a date",IF($C135&gt;Cutoff,"Hired after cutoff",IF(NOT(ISNUMBER($E135)),"Salary missing or not a number",IF($E135&lt;=0,"Salary missing or not a number",IF(OR(NOT(ISNUMBER(I135)),NOT(ISNUMBER(J135)),NOT(ISNUMBER(K135))),"Grade not found in Ranges",IF($D135="","Rating missing",IF($D135="NR","Not rated (NR)",IF(NOT(ISNUMBER(MATCH($D135,Matrix!$A$14:$A$18,0))),"Rating not valid (use 1 to 5 or NR)",IF(NOT(ISNUMBER(O135)),"Band not found (check range and limits)","")))))))))))))</f>
        <v/>
      </c>
      <c r="R135" s="47" t="str">
        <f aca="false">IF($P135="Y",INDEX(Matrix!$C$14:$G$18,MATCH($D135,Matrix!$A$14:$A$18,0),$O135),IF($P135="N",0,""))</f>
        <v/>
      </c>
      <c r="S135" s="47" t="str">
        <f aca="false">IF($P135="Y",IF(AND(ISNUMBER($G135),$G135&gt;=0,$G135&lt;=1),$G135,$R135),IF($P135="N",0,""))</f>
        <v/>
      </c>
      <c r="T135" s="48" t="str">
        <f aca="false">IF($P135&lt;&gt;"Y",IF($P135="N",0,""),IF(ProrateMethod="None",1,IF($C135&lt;=PeriodStart,1,IF(ProrateMethod="Daily",MAX(0,MIN(1,(PeriodEnd-$C135+1)/(PeriodEnd-PeriodStart+1))),MAX(0,MIN(1,((YEAR(PeriodEnd)-YEAR($C135))*12+MONTH(PeriodEnd)-MONTH($C135)+1-IF(DAY($C135)&gt;MonthCutDay,1,0))/PeriodMonths))))))</f>
        <v/>
      </c>
      <c r="U135" s="47" t="str">
        <f aca="false">IF($P135="","",$S135*$T135)</f>
        <v/>
      </c>
      <c r="V135" s="49" t="str">
        <f aca="false">IF($P135="","",IF(ISNUMBER($E135),$E135,0)*$R135)</f>
        <v/>
      </c>
      <c r="W135" s="49" t="str">
        <f aca="false">IF($P135="","",IF(ISNUMBER($E135),$E135,0)*$S135)</f>
        <v/>
      </c>
      <c r="X135" s="49" t="str">
        <f aca="false">IF($P135="","",IF(ISNUMBER($E135),$E135,0)*$U135)</f>
        <v/>
      </c>
      <c r="Y135" s="49" t="str">
        <f aca="false">IF($P135="","",IF(AND(CapAtMax="Yes",$P135="Y"),MAX(0,MIN($X135,$K135-$E135)),$X135))</f>
        <v/>
      </c>
      <c r="Z135" s="41" t="str">
        <f aca="false">IF(OR($P135="",NOT(ISNUMBER($E135))),"",$E135+$Y135)</f>
        <v/>
      </c>
      <c r="AA135" s="42" t="str">
        <f aca="false">IF(AND(ISNUMBER(Z135),ISNUMBER(J135)),IF(J135&gt;0,Z135/J135,""),"")</f>
        <v/>
      </c>
      <c r="AB135" s="46" t="str">
        <f aca="false">IF($P135="","",TRIM(IF(AND($P135="Y",ISNUMBER(K135),ISNUMBER(Z135)),IF(Z135&gt;K135,"Above range max. ",""),"")&amp;IF(AND($P135="Y",ISNUMBER($X135),ISNUMBER($Y135)),IF($X135-$Y135&gt;0.005,"Capped at range max. ",""),"")&amp;IF(AND(AND(ISNUMBER($G135),$G135&gt;=0,$G135&lt;=1),$H135=""),"Override needs a reason. ","")&amp;IF(AND(AND(ISNUMBER($G135),$G135&gt;=0,$G135&lt;=1),$P135&lt;&gt;"Y"),"Override ignored. ","")&amp;IF(AND($G135&lt;&gt;"",NOT(AND(ISNUMBER($G135),$G135&gt;=0,$G135&lt;=1))),"Override not valid, ignored. ","")&amp;IF(AND($A135&lt;&gt;"",COUNTIF($A$5:$A$254,$A135)&gt;1),"Duplicate ID. ","")))</f>
        <v/>
      </c>
    </row>
    <row r="136" customFormat="false" ht="15" hidden="false" customHeight="false" outlineLevel="0" collapsed="false">
      <c r="A136" s="18"/>
      <c r="B136" s="38"/>
      <c r="C136" s="39"/>
      <c r="D136" s="38"/>
      <c r="E136" s="19"/>
      <c r="F136" s="38"/>
      <c r="G136" s="40"/>
      <c r="H136" s="18"/>
      <c r="I136" s="41" t="str">
        <f aca="false">IF(COUNTA($A136:$F136)=0,"",IF($B136="","",IFERROR(INDEX(Ranges!$B$5:$B$16,MATCH($B136,Ranges!$A$5:$A$16,0)),"")))</f>
        <v/>
      </c>
      <c r="J136" s="41" t="str">
        <f aca="false">IF(COUNTA($A136:$F136)=0,"",IF($B136="","",IFERROR(INDEX(Ranges!$C$5:$C$16,MATCH($B136,Ranges!$A$5:$A$16,0)),"")))</f>
        <v/>
      </c>
      <c r="K136" s="41" t="str">
        <f aca="false">IF(COUNTA($A136:$F136)=0,"",IF($B136="","",IFERROR(INDEX(Ranges!$D$5:$D$16,MATCH($B136,Ranges!$A$5:$A$16,0)),"")))</f>
        <v/>
      </c>
      <c r="L136" s="42" t="str">
        <f aca="false">IF(OR(NOT(ISNUMBER($E136)),NOT(ISNUMBER(J136))),"",IF(J136&gt;0,$E136/J136,""))</f>
        <v/>
      </c>
      <c r="M136" s="43" t="str">
        <f aca="false">IF(OR(NOT(ISNUMBER($E136)),NOT(ISNUMBER(I136)),NOT(ISNUMBER(K136))),"",IF(K136&gt;I136,($E136-I136)/(K136-I136),""))</f>
        <v/>
      </c>
      <c r="N136" s="42" t="str">
        <f aca="false">IF(Basis="Compa-ratio",L136,M136)</f>
        <v/>
      </c>
      <c r="O136" s="44" t="str">
        <f aca="false">IF(ISNUMBER(N136),IFERROR(MATCH(N136,Matrix!$C$9:$G$9,1),1),"")</f>
        <v/>
      </c>
      <c r="P136" s="45" t="str">
        <f aca="false">IF(COUNTA($A136:$F136)=0,"",IF(Q136="","Y","N"))</f>
        <v/>
      </c>
      <c r="Q136" s="46" t="str">
        <f aca="false">IF(COUNTA($A136:$F136)=0,"",IF($A136="","ID missing",IF(TRIM($F136)="Exclude","Excluded by plan status",IF(AND(TRIM($F136)&lt;&gt;"",TRIM($F136)&lt;&gt;"Include"),"Plan status not valid (use Include or Exclude)",IF(NOT(ISNUMBER($C136)),"Hire date missing or not a date",IF($C136&gt;Cutoff,"Hired after cutoff",IF(NOT(ISNUMBER($E136)),"Salary missing or not a number",IF($E136&lt;=0,"Salary missing or not a number",IF(OR(NOT(ISNUMBER(I136)),NOT(ISNUMBER(J136)),NOT(ISNUMBER(K136))),"Grade not found in Ranges",IF($D136="","Rating missing",IF($D136="NR","Not rated (NR)",IF(NOT(ISNUMBER(MATCH($D136,Matrix!$A$14:$A$18,0))),"Rating not valid (use 1 to 5 or NR)",IF(NOT(ISNUMBER(O136)),"Band not found (check range and limits)","")))))))))))))</f>
        <v/>
      </c>
      <c r="R136" s="47" t="str">
        <f aca="false">IF($P136="Y",INDEX(Matrix!$C$14:$G$18,MATCH($D136,Matrix!$A$14:$A$18,0),$O136),IF($P136="N",0,""))</f>
        <v/>
      </c>
      <c r="S136" s="47" t="str">
        <f aca="false">IF($P136="Y",IF(AND(ISNUMBER($G136),$G136&gt;=0,$G136&lt;=1),$G136,$R136),IF($P136="N",0,""))</f>
        <v/>
      </c>
      <c r="T136" s="48" t="str">
        <f aca="false">IF($P136&lt;&gt;"Y",IF($P136="N",0,""),IF(ProrateMethod="None",1,IF($C136&lt;=PeriodStart,1,IF(ProrateMethod="Daily",MAX(0,MIN(1,(PeriodEnd-$C136+1)/(PeriodEnd-PeriodStart+1))),MAX(0,MIN(1,((YEAR(PeriodEnd)-YEAR($C136))*12+MONTH(PeriodEnd)-MONTH($C136)+1-IF(DAY($C136)&gt;MonthCutDay,1,0))/PeriodMonths))))))</f>
        <v/>
      </c>
      <c r="U136" s="47" t="str">
        <f aca="false">IF($P136="","",$S136*$T136)</f>
        <v/>
      </c>
      <c r="V136" s="49" t="str">
        <f aca="false">IF($P136="","",IF(ISNUMBER($E136),$E136,0)*$R136)</f>
        <v/>
      </c>
      <c r="W136" s="49" t="str">
        <f aca="false">IF($P136="","",IF(ISNUMBER($E136),$E136,0)*$S136)</f>
        <v/>
      </c>
      <c r="X136" s="49" t="str">
        <f aca="false">IF($P136="","",IF(ISNUMBER($E136),$E136,0)*$U136)</f>
        <v/>
      </c>
      <c r="Y136" s="49" t="str">
        <f aca="false">IF($P136="","",IF(AND(CapAtMax="Yes",$P136="Y"),MAX(0,MIN($X136,$K136-$E136)),$X136))</f>
        <v/>
      </c>
      <c r="Z136" s="41" t="str">
        <f aca="false">IF(OR($P136="",NOT(ISNUMBER($E136))),"",$E136+$Y136)</f>
        <v/>
      </c>
      <c r="AA136" s="42" t="str">
        <f aca="false">IF(AND(ISNUMBER(Z136),ISNUMBER(J136)),IF(J136&gt;0,Z136/J136,""),"")</f>
        <v/>
      </c>
      <c r="AB136" s="46" t="str">
        <f aca="false">IF($P136="","",TRIM(IF(AND($P136="Y",ISNUMBER(K136),ISNUMBER(Z136)),IF(Z136&gt;K136,"Above range max. ",""),"")&amp;IF(AND($P136="Y",ISNUMBER($X136),ISNUMBER($Y136)),IF($X136-$Y136&gt;0.005,"Capped at range max. ",""),"")&amp;IF(AND(AND(ISNUMBER($G136),$G136&gt;=0,$G136&lt;=1),$H136=""),"Override needs a reason. ","")&amp;IF(AND(AND(ISNUMBER($G136),$G136&gt;=0,$G136&lt;=1),$P136&lt;&gt;"Y"),"Override ignored. ","")&amp;IF(AND($G136&lt;&gt;"",NOT(AND(ISNUMBER($G136),$G136&gt;=0,$G136&lt;=1))),"Override not valid, ignored. ","")&amp;IF(AND($A136&lt;&gt;"",COUNTIF($A$5:$A$254,$A136)&gt;1),"Duplicate ID. ","")))</f>
        <v/>
      </c>
    </row>
    <row r="137" customFormat="false" ht="15" hidden="false" customHeight="false" outlineLevel="0" collapsed="false">
      <c r="A137" s="18"/>
      <c r="B137" s="38"/>
      <c r="C137" s="39"/>
      <c r="D137" s="38"/>
      <c r="E137" s="19"/>
      <c r="F137" s="38"/>
      <c r="G137" s="40"/>
      <c r="H137" s="18"/>
      <c r="I137" s="41" t="str">
        <f aca="false">IF(COUNTA($A137:$F137)=0,"",IF($B137="","",IFERROR(INDEX(Ranges!$B$5:$B$16,MATCH($B137,Ranges!$A$5:$A$16,0)),"")))</f>
        <v/>
      </c>
      <c r="J137" s="41" t="str">
        <f aca="false">IF(COUNTA($A137:$F137)=0,"",IF($B137="","",IFERROR(INDEX(Ranges!$C$5:$C$16,MATCH($B137,Ranges!$A$5:$A$16,0)),"")))</f>
        <v/>
      </c>
      <c r="K137" s="41" t="str">
        <f aca="false">IF(COUNTA($A137:$F137)=0,"",IF($B137="","",IFERROR(INDEX(Ranges!$D$5:$D$16,MATCH($B137,Ranges!$A$5:$A$16,0)),"")))</f>
        <v/>
      </c>
      <c r="L137" s="42" t="str">
        <f aca="false">IF(OR(NOT(ISNUMBER($E137)),NOT(ISNUMBER(J137))),"",IF(J137&gt;0,$E137/J137,""))</f>
        <v/>
      </c>
      <c r="M137" s="43" t="str">
        <f aca="false">IF(OR(NOT(ISNUMBER($E137)),NOT(ISNUMBER(I137)),NOT(ISNUMBER(K137))),"",IF(K137&gt;I137,($E137-I137)/(K137-I137),""))</f>
        <v/>
      </c>
      <c r="N137" s="42" t="str">
        <f aca="false">IF(Basis="Compa-ratio",L137,M137)</f>
        <v/>
      </c>
      <c r="O137" s="44" t="str">
        <f aca="false">IF(ISNUMBER(N137),IFERROR(MATCH(N137,Matrix!$C$9:$G$9,1),1),"")</f>
        <v/>
      </c>
      <c r="P137" s="45" t="str">
        <f aca="false">IF(COUNTA($A137:$F137)=0,"",IF(Q137="","Y","N"))</f>
        <v/>
      </c>
      <c r="Q137" s="46" t="str">
        <f aca="false">IF(COUNTA($A137:$F137)=0,"",IF($A137="","ID missing",IF(TRIM($F137)="Exclude","Excluded by plan status",IF(AND(TRIM($F137)&lt;&gt;"",TRIM($F137)&lt;&gt;"Include"),"Plan status not valid (use Include or Exclude)",IF(NOT(ISNUMBER($C137)),"Hire date missing or not a date",IF($C137&gt;Cutoff,"Hired after cutoff",IF(NOT(ISNUMBER($E137)),"Salary missing or not a number",IF($E137&lt;=0,"Salary missing or not a number",IF(OR(NOT(ISNUMBER(I137)),NOT(ISNUMBER(J137)),NOT(ISNUMBER(K137))),"Grade not found in Ranges",IF($D137="","Rating missing",IF($D137="NR","Not rated (NR)",IF(NOT(ISNUMBER(MATCH($D137,Matrix!$A$14:$A$18,0))),"Rating not valid (use 1 to 5 or NR)",IF(NOT(ISNUMBER(O137)),"Band not found (check range and limits)","")))))))))))))</f>
        <v/>
      </c>
      <c r="R137" s="47" t="str">
        <f aca="false">IF($P137="Y",INDEX(Matrix!$C$14:$G$18,MATCH($D137,Matrix!$A$14:$A$18,0),$O137),IF($P137="N",0,""))</f>
        <v/>
      </c>
      <c r="S137" s="47" t="str">
        <f aca="false">IF($P137="Y",IF(AND(ISNUMBER($G137),$G137&gt;=0,$G137&lt;=1),$G137,$R137),IF($P137="N",0,""))</f>
        <v/>
      </c>
      <c r="T137" s="48" t="str">
        <f aca="false">IF($P137&lt;&gt;"Y",IF($P137="N",0,""),IF(ProrateMethod="None",1,IF($C137&lt;=PeriodStart,1,IF(ProrateMethod="Daily",MAX(0,MIN(1,(PeriodEnd-$C137+1)/(PeriodEnd-PeriodStart+1))),MAX(0,MIN(1,((YEAR(PeriodEnd)-YEAR($C137))*12+MONTH(PeriodEnd)-MONTH($C137)+1-IF(DAY($C137)&gt;MonthCutDay,1,0))/PeriodMonths))))))</f>
        <v/>
      </c>
      <c r="U137" s="47" t="str">
        <f aca="false">IF($P137="","",$S137*$T137)</f>
        <v/>
      </c>
      <c r="V137" s="49" t="str">
        <f aca="false">IF($P137="","",IF(ISNUMBER($E137),$E137,0)*$R137)</f>
        <v/>
      </c>
      <c r="W137" s="49" t="str">
        <f aca="false">IF($P137="","",IF(ISNUMBER($E137),$E137,0)*$S137)</f>
        <v/>
      </c>
      <c r="X137" s="49" t="str">
        <f aca="false">IF($P137="","",IF(ISNUMBER($E137),$E137,0)*$U137)</f>
        <v/>
      </c>
      <c r="Y137" s="49" t="str">
        <f aca="false">IF($P137="","",IF(AND(CapAtMax="Yes",$P137="Y"),MAX(0,MIN($X137,$K137-$E137)),$X137))</f>
        <v/>
      </c>
      <c r="Z137" s="41" t="str">
        <f aca="false">IF(OR($P137="",NOT(ISNUMBER($E137))),"",$E137+$Y137)</f>
        <v/>
      </c>
      <c r="AA137" s="42" t="str">
        <f aca="false">IF(AND(ISNUMBER(Z137),ISNUMBER(J137)),IF(J137&gt;0,Z137/J137,""),"")</f>
        <v/>
      </c>
      <c r="AB137" s="46" t="str">
        <f aca="false">IF($P137="","",TRIM(IF(AND($P137="Y",ISNUMBER(K137),ISNUMBER(Z137)),IF(Z137&gt;K137,"Above range max. ",""),"")&amp;IF(AND($P137="Y",ISNUMBER($X137),ISNUMBER($Y137)),IF($X137-$Y137&gt;0.005,"Capped at range max. ",""),"")&amp;IF(AND(AND(ISNUMBER($G137),$G137&gt;=0,$G137&lt;=1),$H137=""),"Override needs a reason. ","")&amp;IF(AND(AND(ISNUMBER($G137),$G137&gt;=0,$G137&lt;=1),$P137&lt;&gt;"Y"),"Override ignored. ","")&amp;IF(AND($G137&lt;&gt;"",NOT(AND(ISNUMBER($G137),$G137&gt;=0,$G137&lt;=1))),"Override not valid, ignored. ","")&amp;IF(AND($A137&lt;&gt;"",COUNTIF($A$5:$A$254,$A137)&gt;1),"Duplicate ID. ","")))</f>
        <v/>
      </c>
    </row>
    <row r="138" customFormat="false" ht="15" hidden="false" customHeight="false" outlineLevel="0" collapsed="false">
      <c r="A138" s="18"/>
      <c r="B138" s="38"/>
      <c r="C138" s="39"/>
      <c r="D138" s="38"/>
      <c r="E138" s="19"/>
      <c r="F138" s="38"/>
      <c r="G138" s="40"/>
      <c r="H138" s="18"/>
      <c r="I138" s="41" t="str">
        <f aca="false">IF(COUNTA($A138:$F138)=0,"",IF($B138="","",IFERROR(INDEX(Ranges!$B$5:$B$16,MATCH($B138,Ranges!$A$5:$A$16,0)),"")))</f>
        <v/>
      </c>
      <c r="J138" s="41" t="str">
        <f aca="false">IF(COUNTA($A138:$F138)=0,"",IF($B138="","",IFERROR(INDEX(Ranges!$C$5:$C$16,MATCH($B138,Ranges!$A$5:$A$16,0)),"")))</f>
        <v/>
      </c>
      <c r="K138" s="41" t="str">
        <f aca="false">IF(COUNTA($A138:$F138)=0,"",IF($B138="","",IFERROR(INDEX(Ranges!$D$5:$D$16,MATCH($B138,Ranges!$A$5:$A$16,0)),"")))</f>
        <v/>
      </c>
      <c r="L138" s="42" t="str">
        <f aca="false">IF(OR(NOT(ISNUMBER($E138)),NOT(ISNUMBER(J138))),"",IF(J138&gt;0,$E138/J138,""))</f>
        <v/>
      </c>
      <c r="M138" s="43" t="str">
        <f aca="false">IF(OR(NOT(ISNUMBER($E138)),NOT(ISNUMBER(I138)),NOT(ISNUMBER(K138))),"",IF(K138&gt;I138,($E138-I138)/(K138-I138),""))</f>
        <v/>
      </c>
      <c r="N138" s="42" t="str">
        <f aca="false">IF(Basis="Compa-ratio",L138,M138)</f>
        <v/>
      </c>
      <c r="O138" s="44" t="str">
        <f aca="false">IF(ISNUMBER(N138),IFERROR(MATCH(N138,Matrix!$C$9:$G$9,1),1),"")</f>
        <v/>
      </c>
      <c r="P138" s="45" t="str">
        <f aca="false">IF(COUNTA($A138:$F138)=0,"",IF(Q138="","Y","N"))</f>
        <v/>
      </c>
      <c r="Q138" s="46" t="str">
        <f aca="false">IF(COUNTA($A138:$F138)=0,"",IF($A138="","ID missing",IF(TRIM($F138)="Exclude","Excluded by plan status",IF(AND(TRIM($F138)&lt;&gt;"",TRIM($F138)&lt;&gt;"Include"),"Plan status not valid (use Include or Exclude)",IF(NOT(ISNUMBER($C138)),"Hire date missing or not a date",IF($C138&gt;Cutoff,"Hired after cutoff",IF(NOT(ISNUMBER($E138)),"Salary missing or not a number",IF($E138&lt;=0,"Salary missing or not a number",IF(OR(NOT(ISNUMBER(I138)),NOT(ISNUMBER(J138)),NOT(ISNUMBER(K138))),"Grade not found in Ranges",IF($D138="","Rating missing",IF($D138="NR","Not rated (NR)",IF(NOT(ISNUMBER(MATCH($D138,Matrix!$A$14:$A$18,0))),"Rating not valid (use 1 to 5 or NR)",IF(NOT(ISNUMBER(O138)),"Band not found (check range and limits)","")))))))))))))</f>
        <v/>
      </c>
      <c r="R138" s="47" t="str">
        <f aca="false">IF($P138="Y",INDEX(Matrix!$C$14:$G$18,MATCH($D138,Matrix!$A$14:$A$18,0),$O138),IF($P138="N",0,""))</f>
        <v/>
      </c>
      <c r="S138" s="47" t="str">
        <f aca="false">IF($P138="Y",IF(AND(ISNUMBER($G138),$G138&gt;=0,$G138&lt;=1),$G138,$R138),IF($P138="N",0,""))</f>
        <v/>
      </c>
      <c r="T138" s="48" t="str">
        <f aca="false">IF($P138&lt;&gt;"Y",IF($P138="N",0,""),IF(ProrateMethod="None",1,IF($C138&lt;=PeriodStart,1,IF(ProrateMethod="Daily",MAX(0,MIN(1,(PeriodEnd-$C138+1)/(PeriodEnd-PeriodStart+1))),MAX(0,MIN(1,((YEAR(PeriodEnd)-YEAR($C138))*12+MONTH(PeriodEnd)-MONTH($C138)+1-IF(DAY($C138)&gt;MonthCutDay,1,0))/PeriodMonths))))))</f>
        <v/>
      </c>
      <c r="U138" s="47" t="str">
        <f aca="false">IF($P138="","",$S138*$T138)</f>
        <v/>
      </c>
      <c r="V138" s="49" t="str">
        <f aca="false">IF($P138="","",IF(ISNUMBER($E138),$E138,0)*$R138)</f>
        <v/>
      </c>
      <c r="W138" s="49" t="str">
        <f aca="false">IF($P138="","",IF(ISNUMBER($E138),$E138,0)*$S138)</f>
        <v/>
      </c>
      <c r="X138" s="49" t="str">
        <f aca="false">IF($P138="","",IF(ISNUMBER($E138),$E138,0)*$U138)</f>
        <v/>
      </c>
      <c r="Y138" s="49" t="str">
        <f aca="false">IF($P138="","",IF(AND(CapAtMax="Yes",$P138="Y"),MAX(0,MIN($X138,$K138-$E138)),$X138))</f>
        <v/>
      </c>
      <c r="Z138" s="41" t="str">
        <f aca="false">IF(OR($P138="",NOT(ISNUMBER($E138))),"",$E138+$Y138)</f>
        <v/>
      </c>
      <c r="AA138" s="42" t="str">
        <f aca="false">IF(AND(ISNUMBER(Z138),ISNUMBER(J138)),IF(J138&gt;0,Z138/J138,""),"")</f>
        <v/>
      </c>
      <c r="AB138" s="46" t="str">
        <f aca="false">IF($P138="","",TRIM(IF(AND($P138="Y",ISNUMBER(K138),ISNUMBER(Z138)),IF(Z138&gt;K138,"Above range max. ",""),"")&amp;IF(AND($P138="Y",ISNUMBER($X138),ISNUMBER($Y138)),IF($X138-$Y138&gt;0.005,"Capped at range max. ",""),"")&amp;IF(AND(AND(ISNUMBER($G138),$G138&gt;=0,$G138&lt;=1),$H138=""),"Override needs a reason. ","")&amp;IF(AND(AND(ISNUMBER($G138),$G138&gt;=0,$G138&lt;=1),$P138&lt;&gt;"Y"),"Override ignored. ","")&amp;IF(AND($G138&lt;&gt;"",NOT(AND(ISNUMBER($G138),$G138&gt;=0,$G138&lt;=1))),"Override not valid, ignored. ","")&amp;IF(AND($A138&lt;&gt;"",COUNTIF($A$5:$A$254,$A138)&gt;1),"Duplicate ID. ","")))</f>
        <v/>
      </c>
    </row>
    <row r="139" customFormat="false" ht="15" hidden="false" customHeight="false" outlineLevel="0" collapsed="false">
      <c r="A139" s="18"/>
      <c r="B139" s="38"/>
      <c r="C139" s="39"/>
      <c r="D139" s="38"/>
      <c r="E139" s="19"/>
      <c r="F139" s="38"/>
      <c r="G139" s="40"/>
      <c r="H139" s="18"/>
      <c r="I139" s="41" t="str">
        <f aca="false">IF(COUNTA($A139:$F139)=0,"",IF($B139="","",IFERROR(INDEX(Ranges!$B$5:$B$16,MATCH($B139,Ranges!$A$5:$A$16,0)),"")))</f>
        <v/>
      </c>
      <c r="J139" s="41" t="str">
        <f aca="false">IF(COUNTA($A139:$F139)=0,"",IF($B139="","",IFERROR(INDEX(Ranges!$C$5:$C$16,MATCH($B139,Ranges!$A$5:$A$16,0)),"")))</f>
        <v/>
      </c>
      <c r="K139" s="41" t="str">
        <f aca="false">IF(COUNTA($A139:$F139)=0,"",IF($B139="","",IFERROR(INDEX(Ranges!$D$5:$D$16,MATCH($B139,Ranges!$A$5:$A$16,0)),"")))</f>
        <v/>
      </c>
      <c r="L139" s="42" t="str">
        <f aca="false">IF(OR(NOT(ISNUMBER($E139)),NOT(ISNUMBER(J139))),"",IF(J139&gt;0,$E139/J139,""))</f>
        <v/>
      </c>
      <c r="M139" s="43" t="str">
        <f aca="false">IF(OR(NOT(ISNUMBER($E139)),NOT(ISNUMBER(I139)),NOT(ISNUMBER(K139))),"",IF(K139&gt;I139,($E139-I139)/(K139-I139),""))</f>
        <v/>
      </c>
      <c r="N139" s="42" t="str">
        <f aca="false">IF(Basis="Compa-ratio",L139,M139)</f>
        <v/>
      </c>
      <c r="O139" s="44" t="str">
        <f aca="false">IF(ISNUMBER(N139),IFERROR(MATCH(N139,Matrix!$C$9:$G$9,1),1),"")</f>
        <v/>
      </c>
      <c r="P139" s="45" t="str">
        <f aca="false">IF(COUNTA($A139:$F139)=0,"",IF(Q139="","Y","N"))</f>
        <v/>
      </c>
      <c r="Q139" s="46" t="str">
        <f aca="false">IF(COUNTA($A139:$F139)=0,"",IF($A139="","ID missing",IF(TRIM($F139)="Exclude","Excluded by plan status",IF(AND(TRIM($F139)&lt;&gt;"",TRIM($F139)&lt;&gt;"Include"),"Plan status not valid (use Include or Exclude)",IF(NOT(ISNUMBER($C139)),"Hire date missing or not a date",IF($C139&gt;Cutoff,"Hired after cutoff",IF(NOT(ISNUMBER($E139)),"Salary missing or not a number",IF($E139&lt;=0,"Salary missing or not a number",IF(OR(NOT(ISNUMBER(I139)),NOT(ISNUMBER(J139)),NOT(ISNUMBER(K139))),"Grade not found in Ranges",IF($D139="","Rating missing",IF($D139="NR","Not rated (NR)",IF(NOT(ISNUMBER(MATCH($D139,Matrix!$A$14:$A$18,0))),"Rating not valid (use 1 to 5 or NR)",IF(NOT(ISNUMBER(O139)),"Band not found (check range and limits)","")))))))))))))</f>
        <v/>
      </c>
      <c r="R139" s="47" t="str">
        <f aca="false">IF($P139="Y",INDEX(Matrix!$C$14:$G$18,MATCH($D139,Matrix!$A$14:$A$18,0),$O139),IF($P139="N",0,""))</f>
        <v/>
      </c>
      <c r="S139" s="47" t="str">
        <f aca="false">IF($P139="Y",IF(AND(ISNUMBER($G139),$G139&gt;=0,$G139&lt;=1),$G139,$R139),IF($P139="N",0,""))</f>
        <v/>
      </c>
      <c r="T139" s="48" t="str">
        <f aca="false">IF($P139&lt;&gt;"Y",IF($P139="N",0,""),IF(ProrateMethod="None",1,IF($C139&lt;=PeriodStart,1,IF(ProrateMethod="Daily",MAX(0,MIN(1,(PeriodEnd-$C139+1)/(PeriodEnd-PeriodStart+1))),MAX(0,MIN(1,((YEAR(PeriodEnd)-YEAR($C139))*12+MONTH(PeriodEnd)-MONTH($C139)+1-IF(DAY($C139)&gt;MonthCutDay,1,0))/PeriodMonths))))))</f>
        <v/>
      </c>
      <c r="U139" s="47" t="str">
        <f aca="false">IF($P139="","",$S139*$T139)</f>
        <v/>
      </c>
      <c r="V139" s="49" t="str">
        <f aca="false">IF($P139="","",IF(ISNUMBER($E139),$E139,0)*$R139)</f>
        <v/>
      </c>
      <c r="W139" s="49" t="str">
        <f aca="false">IF($P139="","",IF(ISNUMBER($E139),$E139,0)*$S139)</f>
        <v/>
      </c>
      <c r="X139" s="49" t="str">
        <f aca="false">IF($P139="","",IF(ISNUMBER($E139),$E139,0)*$U139)</f>
        <v/>
      </c>
      <c r="Y139" s="49" t="str">
        <f aca="false">IF($P139="","",IF(AND(CapAtMax="Yes",$P139="Y"),MAX(0,MIN($X139,$K139-$E139)),$X139))</f>
        <v/>
      </c>
      <c r="Z139" s="41" t="str">
        <f aca="false">IF(OR($P139="",NOT(ISNUMBER($E139))),"",$E139+$Y139)</f>
        <v/>
      </c>
      <c r="AA139" s="42" t="str">
        <f aca="false">IF(AND(ISNUMBER(Z139),ISNUMBER(J139)),IF(J139&gt;0,Z139/J139,""),"")</f>
        <v/>
      </c>
      <c r="AB139" s="46" t="str">
        <f aca="false">IF($P139="","",TRIM(IF(AND($P139="Y",ISNUMBER(K139),ISNUMBER(Z139)),IF(Z139&gt;K139,"Above range max. ",""),"")&amp;IF(AND($P139="Y",ISNUMBER($X139),ISNUMBER($Y139)),IF($X139-$Y139&gt;0.005,"Capped at range max. ",""),"")&amp;IF(AND(AND(ISNUMBER($G139),$G139&gt;=0,$G139&lt;=1),$H139=""),"Override needs a reason. ","")&amp;IF(AND(AND(ISNUMBER($G139),$G139&gt;=0,$G139&lt;=1),$P139&lt;&gt;"Y"),"Override ignored. ","")&amp;IF(AND($G139&lt;&gt;"",NOT(AND(ISNUMBER($G139),$G139&gt;=0,$G139&lt;=1))),"Override not valid, ignored. ","")&amp;IF(AND($A139&lt;&gt;"",COUNTIF($A$5:$A$254,$A139)&gt;1),"Duplicate ID. ","")))</f>
        <v/>
      </c>
    </row>
    <row r="140" customFormat="false" ht="15" hidden="false" customHeight="false" outlineLevel="0" collapsed="false">
      <c r="A140" s="18"/>
      <c r="B140" s="38"/>
      <c r="C140" s="39"/>
      <c r="D140" s="38"/>
      <c r="E140" s="19"/>
      <c r="F140" s="38"/>
      <c r="G140" s="40"/>
      <c r="H140" s="18"/>
      <c r="I140" s="41" t="str">
        <f aca="false">IF(COUNTA($A140:$F140)=0,"",IF($B140="","",IFERROR(INDEX(Ranges!$B$5:$B$16,MATCH($B140,Ranges!$A$5:$A$16,0)),"")))</f>
        <v/>
      </c>
      <c r="J140" s="41" t="str">
        <f aca="false">IF(COUNTA($A140:$F140)=0,"",IF($B140="","",IFERROR(INDEX(Ranges!$C$5:$C$16,MATCH($B140,Ranges!$A$5:$A$16,0)),"")))</f>
        <v/>
      </c>
      <c r="K140" s="41" t="str">
        <f aca="false">IF(COUNTA($A140:$F140)=0,"",IF($B140="","",IFERROR(INDEX(Ranges!$D$5:$D$16,MATCH($B140,Ranges!$A$5:$A$16,0)),"")))</f>
        <v/>
      </c>
      <c r="L140" s="42" t="str">
        <f aca="false">IF(OR(NOT(ISNUMBER($E140)),NOT(ISNUMBER(J140))),"",IF(J140&gt;0,$E140/J140,""))</f>
        <v/>
      </c>
      <c r="M140" s="43" t="str">
        <f aca="false">IF(OR(NOT(ISNUMBER($E140)),NOT(ISNUMBER(I140)),NOT(ISNUMBER(K140))),"",IF(K140&gt;I140,($E140-I140)/(K140-I140),""))</f>
        <v/>
      </c>
      <c r="N140" s="42" t="str">
        <f aca="false">IF(Basis="Compa-ratio",L140,M140)</f>
        <v/>
      </c>
      <c r="O140" s="44" t="str">
        <f aca="false">IF(ISNUMBER(N140),IFERROR(MATCH(N140,Matrix!$C$9:$G$9,1),1),"")</f>
        <v/>
      </c>
      <c r="P140" s="45" t="str">
        <f aca="false">IF(COUNTA($A140:$F140)=0,"",IF(Q140="","Y","N"))</f>
        <v/>
      </c>
      <c r="Q140" s="46" t="str">
        <f aca="false">IF(COUNTA($A140:$F140)=0,"",IF($A140="","ID missing",IF(TRIM($F140)="Exclude","Excluded by plan status",IF(AND(TRIM($F140)&lt;&gt;"",TRIM($F140)&lt;&gt;"Include"),"Plan status not valid (use Include or Exclude)",IF(NOT(ISNUMBER($C140)),"Hire date missing or not a date",IF($C140&gt;Cutoff,"Hired after cutoff",IF(NOT(ISNUMBER($E140)),"Salary missing or not a number",IF($E140&lt;=0,"Salary missing or not a number",IF(OR(NOT(ISNUMBER(I140)),NOT(ISNUMBER(J140)),NOT(ISNUMBER(K140))),"Grade not found in Ranges",IF($D140="","Rating missing",IF($D140="NR","Not rated (NR)",IF(NOT(ISNUMBER(MATCH($D140,Matrix!$A$14:$A$18,0))),"Rating not valid (use 1 to 5 or NR)",IF(NOT(ISNUMBER(O140)),"Band not found (check range and limits)","")))))))))))))</f>
        <v/>
      </c>
      <c r="R140" s="47" t="str">
        <f aca="false">IF($P140="Y",INDEX(Matrix!$C$14:$G$18,MATCH($D140,Matrix!$A$14:$A$18,0),$O140),IF($P140="N",0,""))</f>
        <v/>
      </c>
      <c r="S140" s="47" t="str">
        <f aca="false">IF($P140="Y",IF(AND(ISNUMBER($G140),$G140&gt;=0,$G140&lt;=1),$G140,$R140),IF($P140="N",0,""))</f>
        <v/>
      </c>
      <c r="T140" s="48" t="str">
        <f aca="false">IF($P140&lt;&gt;"Y",IF($P140="N",0,""),IF(ProrateMethod="None",1,IF($C140&lt;=PeriodStart,1,IF(ProrateMethod="Daily",MAX(0,MIN(1,(PeriodEnd-$C140+1)/(PeriodEnd-PeriodStart+1))),MAX(0,MIN(1,((YEAR(PeriodEnd)-YEAR($C140))*12+MONTH(PeriodEnd)-MONTH($C140)+1-IF(DAY($C140)&gt;MonthCutDay,1,0))/PeriodMonths))))))</f>
        <v/>
      </c>
      <c r="U140" s="47" t="str">
        <f aca="false">IF($P140="","",$S140*$T140)</f>
        <v/>
      </c>
      <c r="V140" s="49" t="str">
        <f aca="false">IF($P140="","",IF(ISNUMBER($E140),$E140,0)*$R140)</f>
        <v/>
      </c>
      <c r="W140" s="49" t="str">
        <f aca="false">IF($P140="","",IF(ISNUMBER($E140),$E140,0)*$S140)</f>
        <v/>
      </c>
      <c r="X140" s="49" t="str">
        <f aca="false">IF($P140="","",IF(ISNUMBER($E140),$E140,0)*$U140)</f>
        <v/>
      </c>
      <c r="Y140" s="49" t="str">
        <f aca="false">IF($P140="","",IF(AND(CapAtMax="Yes",$P140="Y"),MAX(0,MIN($X140,$K140-$E140)),$X140))</f>
        <v/>
      </c>
      <c r="Z140" s="41" t="str">
        <f aca="false">IF(OR($P140="",NOT(ISNUMBER($E140))),"",$E140+$Y140)</f>
        <v/>
      </c>
      <c r="AA140" s="42" t="str">
        <f aca="false">IF(AND(ISNUMBER(Z140),ISNUMBER(J140)),IF(J140&gt;0,Z140/J140,""),"")</f>
        <v/>
      </c>
      <c r="AB140" s="46" t="str">
        <f aca="false">IF($P140="","",TRIM(IF(AND($P140="Y",ISNUMBER(K140),ISNUMBER(Z140)),IF(Z140&gt;K140,"Above range max. ",""),"")&amp;IF(AND($P140="Y",ISNUMBER($X140),ISNUMBER($Y140)),IF($X140-$Y140&gt;0.005,"Capped at range max. ",""),"")&amp;IF(AND(AND(ISNUMBER($G140),$G140&gt;=0,$G140&lt;=1),$H140=""),"Override needs a reason. ","")&amp;IF(AND(AND(ISNUMBER($G140),$G140&gt;=0,$G140&lt;=1),$P140&lt;&gt;"Y"),"Override ignored. ","")&amp;IF(AND($G140&lt;&gt;"",NOT(AND(ISNUMBER($G140),$G140&gt;=0,$G140&lt;=1))),"Override not valid, ignored. ","")&amp;IF(AND($A140&lt;&gt;"",COUNTIF($A$5:$A$254,$A140)&gt;1),"Duplicate ID. ","")))</f>
        <v/>
      </c>
    </row>
    <row r="141" customFormat="false" ht="15" hidden="false" customHeight="false" outlineLevel="0" collapsed="false">
      <c r="A141" s="18"/>
      <c r="B141" s="38"/>
      <c r="C141" s="39"/>
      <c r="D141" s="38"/>
      <c r="E141" s="19"/>
      <c r="F141" s="38"/>
      <c r="G141" s="40"/>
      <c r="H141" s="18"/>
      <c r="I141" s="41" t="str">
        <f aca="false">IF(COUNTA($A141:$F141)=0,"",IF($B141="","",IFERROR(INDEX(Ranges!$B$5:$B$16,MATCH($B141,Ranges!$A$5:$A$16,0)),"")))</f>
        <v/>
      </c>
      <c r="J141" s="41" t="str">
        <f aca="false">IF(COUNTA($A141:$F141)=0,"",IF($B141="","",IFERROR(INDEX(Ranges!$C$5:$C$16,MATCH($B141,Ranges!$A$5:$A$16,0)),"")))</f>
        <v/>
      </c>
      <c r="K141" s="41" t="str">
        <f aca="false">IF(COUNTA($A141:$F141)=0,"",IF($B141="","",IFERROR(INDEX(Ranges!$D$5:$D$16,MATCH($B141,Ranges!$A$5:$A$16,0)),"")))</f>
        <v/>
      </c>
      <c r="L141" s="42" t="str">
        <f aca="false">IF(OR(NOT(ISNUMBER($E141)),NOT(ISNUMBER(J141))),"",IF(J141&gt;0,$E141/J141,""))</f>
        <v/>
      </c>
      <c r="M141" s="43" t="str">
        <f aca="false">IF(OR(NOT(ISNUMBER($E141)),NOT(ISNUMBER(I141)),NOT(ISNUMBER(K141))),"",IF(K141&gt;I141,($E141-I141)/(K141-I141),""))</f>
        <v/>
      </c>
      <c r="N141" s="42" t="str">
        <f aca="false">IF(Basis="Compa-ratio",L141,M141)</f>
        <v/>
      </c>
      <c r="O141" s="44" t="str">
        <f aca="false">IF(ISNUMBER(N141),IFERROR(MATCH(N141,Matrix!$C$9:$G$9,1),1),"")</f>
        <v/>
      </c>
      <c r="P141" s="45" t="str">
        <f aca="false">IF(COUNTA($A141:$F141)=0,"",IF(Q141="","Y","N"))</f>
        <v/>
      </c>
      <c r="Q141" s="46" t="str">
        <f aca="false">IF(COUNTA($A141:$F141)=0,"",IF($A141="","ID missing",IF(TRIM($F141)="Exclude","Excluded by plan status",IF(AND(TRIM($F141)&lt;&gt;"",TRIM($F141)&lt;&gt;"Include"),"Plan status not valid (use Include or Exclude)",IF(NOT(ISNUMBER($C141)),"Hire date missing or not a date",IF($C141&gt;Cutoff,"Hired after cutoff",IF(NOT(ISNUMBER($E141)),"Salary missing or not a number",IF($E141&lt;=0,"Salary missing or not a number",IF(OR(NOT(ISNUMBER(I141)),NOT(ISNUMBER(J141)),NOT(ISNUMBER(K141))),"Grade not found in Ranges",IF($D141="","Rating missing",IF($D141="NR","Not rated (NR)",IF(NOT(ISNUMBER(MATCH($D141,Matrix!$A$14:$A$18,0))),"Rating not valid (use 1 to 5 or NR)",IF(NOT(ISNUMBER(O141)),"Band not found (check range and limits)","")))))))))))))</f>
        <v/>
      </c>
      <c r="R141" s="47" t="str">
        <f aca="false">IF($P141="Y",INDEX(Matrix!$C$14:$G$18,MATCH($D141,Matrix!$A$14:$A$18,0),$O141),IF($P141="N",0,""))</f>
        <v/>
      </c>
      <c r="S141" s="47" t="str">
        <f aca="false">IF($P141="Y",IF(AND(ISNUMBER($G141),$G141&gt;=0,$G141&lt;=1),$G141,$R141),IF($P141="N",0,""))</f>
        <v/>
      </c>
      <c r="T141" s="48" t="str">
        <f aca="false">IF($P141&lt;&gt;"Y",IF($P141="N",0,""),IF(ProrateMethod="None",1,IF($C141&lt;=PeriodStart,1,IF(ProrateMethod="Daily",MAX(0,MIN(1,(PeriodEnd-$C141+1)/(PeriodEnd-PeriodStart+1))),MAX(0,MIN(1,((YEAR(PeriodEnd)-YEAR($C141))*12+MONTH(PeriodEnd)-MONTH($C141)+1-IF(DAY($C141)&gt;MonthCutDay,1,0))/PeriodMonths))))))</f>
        <v/>
      </c>
      <c r="U141" s="47" t="str">
        <f aca="false">IF($P141="","",$S141*$T141)</f>
        <v/>
      </c>
      <c r="V141" s="49" t="str">
        <f aca="false">IF($P141="","",IF(ISNUMBER($E141),$E141,0)*$R141)</f>
        <v/>
      </c>
      <c r="W141" s="49" t="str">
        <f aca="false">IF($P141="","",IF(ISNUMBER($E141),$E141,0)*$S141)</f>
        <v/>
      </c>
      <c r="X141" s="49" t="str">
        <f aca="false">IF($P141="","",IF(ISNUMBER($E141),$E141,0)*$U141)</f>
        <v/>
      </c>
      <c r="Y141" s="49" t="str">
        <f aca="false">IF($P141="","",IF(AND(CapAtMax="Yes",$P141="Y"),MAX(0,MIN($X141,$K141-$E141)),$X141))</f>
        <v/>
      </c>
      <c r="Z141" s="41" t="str">
        <f aca="false">IF(OR($P141="",NOT(ISNUMBER($E141))),"",$E141+$Y141)</f>
        <v/>
      </c>
      <c r="AA141" s="42" t="str">
        <f aca="false">IF(AND(ISNUMBER(Z141),ISNUMBER(J141)),IF(J141&gt;0,Z141/J141,""),"")</f>
        <v/>
      </c>
      <c r="AB141" s="46" t="str">
        <f aca="false">IF($P141="","",TRIM(IF(AND($P141="Y",ISNUMBER(K141),ISNUMBER(Z141)),IF(Z141&gt;K141,"Above range max. ",""),"")&amp;IF(AND($P141="Y",ISNUMBER($X141),ISNUMBER($Y141)),IF($X141-$Y141&gt;0.005,"Capped at range max. ",""),"")&amp;IF(AND(AND(ISNUMBER($G141),$G141&gt;=0,$G141&lt;=1),$H141=""),"Override needs a reason. ","")&amp;IF(AND(AND(ISNUMBER($G141),$G141&gt;=0,$G141&lt;=1),$P141&lt;&gt;"Y"),"Override ignored. ","")&amp;IF(AND($G141&lt;&gt;"",NOT(AND(ISNUMBER($G141),$G141&gt;=0,$G141&lt;=1))),"Override not valid, ignored. ","")&amp;IF(AND($A141&lt;&gt;"",COUNTIF($A$5:$A$254,$A141)&gt;1),"Duplicate ID. ","")))</f>
        <v/>
      </c>
    </row>
    <row r="142" customFormat="false" ht="15" hidden="false" customHeight="false" outlineLevel="0" collapsed="false">
      <c r="A142" s="18"/>
      <c r="B142" s="38"/>
      <c r="C142" s="39"/>
      <c r="D142" s="38"/>
      <c r="E142" s="19"/>
      <c r="F142" s="38"/>
      <c r="G142" s="40"/>
      <c r="H142" s="18"/>
      <c r="I142" s="41" t="str">
        <f aca="false">IF(COUNTA($A142:$F142)=0,"",IF($B142="","",IFERROR(INDEX(Ranges!$B$5:$B$16,MATCH($B142,Ranges!$A$5:$A$16,0)),"")))</f>
        <v/>
      </c>
      <c r="J142" s="41" t="str">
        <f aca="false">IF(COUNTA($A142:$F142)=0,"",IF($B142="","",IFERROR(INDEX(Ranges!$C$5:$C$16,MATCH($B142,Ranges!$A$5:$A$16,0)),"")))</f>
        <v/>
      </c>
      <c r="K142" s="41" t="str">
        <f aca="false">IF(COUNTA($A142:$F142)=0,"",IF($B142="","",IFERROR(INDEX(Ranges!$D$5:$D$16,MATCH($B142,Ranges!$A$5:$A$16,0)),"")))</f>
        <v/>
      </c>
      <c r="L142" s="42" t="str">
        <f aca="false">IF(OR(NOT(ISNUMBER($E142)),NOT(ISNUMBER(J142))),"",IF(J142&gt;0,$E142/J142,""))</f>
        <v/>
      </c>
      <c r="M142" s="43" t="str">
        <f aca="false">IF(OR(NOT(ISNUMBER($E142)),NOT(ISNUMBER(I142)),NOT(ISNUMBER(K142))),"",IF(K142&gt;I142,($E142-I142)/(K142-I142),""))</f>
        <v/>
      </c>
      <c r="N142" s="42" t="str">
        <f aca="false">IF(Basis="Compa-ratio",L142,M142)</f>
        <v/>
      </c>
      <c r="O142" s="44" t="str">
        <f aca="false">IF(ISNUMBER(N142),IFERROR(MATCH(N142,Matrix!$C$9:$G$9,1),1),"")</f>
        <v/>
      </c>
      <c r="P142" s="45" t="str">
        <f aca="false">IF(COUNTA($A142:$F142)=0,"",IF(Q142="","Y","N"))</f>
        <v/>
      </c>
      <c r="Q142" s="46" t="str">
        <f aca="false">IF(COUNTA($A142:$F142)=0,"",IF($A142="","ID missing",IF(TRIM($F142)="Exclude","Excluded by plan status",IF(AND(TRIM($F142)&lt;&gt;"",TRIM($F142)&lt;&gt;"Include"),"Plan status not valid (use Include or Exclude)",IF(NOT(ISNUMBER($C142)),"Hire date missing or not a date",IF($C142&gt;Cutoff,"Hired after cutoff",IF(NOT(ISNUMBER($E142)),"Salary missing or not a number",IF($E142&lt;=0,"Salary missing or not a number",IF(OR(NOT(ISNUMBER(I142)),NOT(ISNUMBER(J142)),NOT(ISNUMBER(K142))),"Grade not found in Ranges",IF($D142="","Rating missing",IF($D142="NR","Not rated (NR)",IF(NOT(ISNUMBER(MATCH($D142,Matrix!$A$14:$A$18,0))),"Rating not valid (use 1 to 5 or NR)",IF(NOT(ISNUMBER(O142)),"Band not found (check range and limits)","")))))))))))))</f>
        <v/>
      </c>
      <c r="R142" s="47" t="str">
        <f aca="false">IF($P142="Y",INDEX(Matrix!$C$14:$G$18,MATCH($D142,Matrix!$A$14:$A$18,0),$O142),IF($P142="N",0,""))</f>
        <v/>
      </c>
      <c r="S142" s="47" t="str">
        <f aca="false">IF($P142="Y",IF(AND(ISNUMBER($G142),$G142&gt;=0,$G142&lt;=1),$G142,$R142),IF($P142="N",0,""))</f>
        <v/>
      </c>
      <c r="T142" s="48" t="str">
        <f aca="false">IF($P142&lt;&gt;"Y",IF($P142="N",0,""),IF(ProrateMethod="None",1,IF($C142&lt;=PeriodStart,1,IF(ProrateMethod="Daily",MAX(0,MIN(1,(PeriodEnd-$C142+1)/(PeriodEnd-PeriodStart+1))),MAX(0,MIN(1,((YEAR(PeriodEnd)-YEAR($C142))*12+MONTH(PeriodEnd)-MONTH($C142)+1-IF(DAY($C142)&gt;MonthCutDay,1,0))/PeriodMonths))))))</f>
        <v/>
      </c>
      <c r="U142" s="47" t="str">
        <f aca="false">IF($P142="","",$S142*$T142)</f>
        <v/>
      </c>
      <c r="V142" s="49" t="str">
        <f aca="false">IF($P142="","",IF(ISNUMBER($E142),$E142,0)*$R142)</f>
        <v/>
      </c>
      <c r="W142" s="49" t="str">
        <f aca="false">IF($P142="","",IF(ISNUMBER($E142),$E142,0)*$S142)</f>
        <v/>
      </c>
      <c r="X142" s="49" t="str">
        <f aca="false">IF($P142="","",IF(ISNUMBER($E142),$E142,0)*$U142)</f>
        <v/>
      </c>
      <c r="Y142" s="49" t="str">
        <f aca="false">IF($P142="","",IF(AND(CapAtMax="Yes",$P142="Y"),MAX(0,MIN($X142,$K142-$E142)),$X142))</f>
        <v/>
      </c>
      <c r="Z142" s="41" t="str">
        <f aca="false">IF(OR($P142="",NOT(ISNUMBER($E142))),"",$E142+$Y142)</f>
        <v/>
      </c>
      <c r="AA142" s="42" t="str">
        <f aca="false">IF(AND(ISNUMBER(Z142),ISNUMBER(J142)),IF(J142&gt;0,Z142/J142,""),"")</f>
        <v/>
      </c>
      <c r="AB142" s="46" t="str">
        <f aca="false">IF($P142="","",TRIM(IF(AND($P142="Y",ISNUMBER(K142),ISNUMBER(Z142)),IF(Z142&gt;K142,"Above range max. ",""),"")&amp;IF(AND($P142="Y",ISNUMBER($X142),ISNUMBER($Y142)),IF($X142-$Y142&gt;0.005,"Capped at range max. ",""),"")&amp;IF(AND(AND(ISNUMBER($G142),$G142&gt;=0,$G142&lt;=1),$H142=""),"Override needs a reason. ","")&amp;IF(AND(AND(ISNUMBER($G142),$G142&gt;=0,$G142&lt;=1),$P142&lt;&gt;"Y"),"Override ignored. ","")&amp;IF(AND($G142&lt;&gt;"",NOT(AND(ISNUMBER($G142),$G142&gt;=0,$G142&lt;=1))),"Override not valid, ignored. ","")&amp;IF(AND($A142&lt;&gt;"",COUNTIF($A$5:$A$254,$A142)&gt;1),"Duplicate ID. ","")))</f>
        <v/>
      </c>
    </row>
    <row r="143" customFormat="false" ht="15" hidden="false" customHeight="false" outlineLevel="0" collapsed="false">
      <c r="A143" s="18"/>
      <c r="B143" s="38"/>
      <c r="C143" s="39"/>
      <c r="D143" s="38"/>
      <c r="E143" s="19"/>
      <c r="F143" s="38"/>
      <c r="G143" s="40"/>
      <c r="H143" s="18"/>
      <c r="I143" s="41" t="str">
        <f aca="false">IF(COUNTA($A143:$F143)=0,"",IF($B143="","",IFERROR(INDEX(Ranges!$B$5:$B$16,MATCH($B143,Ranges!$A$5:$A$16,0)),"")))</f>
        <v/>
      </c>
      <c r="J143" s="41" t="str">
        <f aca="false">IF(COUNTA($A143:$F143)=0,"",IF($B143="","",IFERROR(INDEX(Ranges!$C$5:$C$16,MATCH($B143,Ranges!$A$5:$A$16,0)),"")))</f>
        <v/>
      </c>
      <c r="K143" s="41" t="str">
        <f aca="false">IF(COUNTA($A143:$F143)=0,"",IF($B143="","",IFERROR(INDEX(Ranges!$D$5:$D$16,MATCH($B143,Ranges!$A$5:$A$16,0)),"")))</f>
        <v/>
      </c>
      <c r="L143" s="42" t="str">
        <f aca="false">IF(OR(NOT(ISNUMBER($E143)),NOT(ISNUMBER(J143))),"",IF(J143&gt;0,$E143/J143,""))</f>
        <v/>
      </c>
      <c r="M143" s="43" t="str">
        <f aca="false">IF(OR(NOT(ISNUMBER($E143)),NOT(ISNUMBER(I143)),NOT(ISNUMBER(K143))),"",IF(K143&gt;I143,($E143-I143)/(K143-I143),""))</f>
        <v/>
      </c>
      <c r="N143" s="42" t="str">
        <f aca="false">IF(Basis="Compa-ratio",L143,M143)</f>
        <v/>
      </c>
      <c r="O143" s="44" t="str">
        <f aca="false">IF(ISNUMBER(N143),IFERROR(MATCH(N143,Matrix!$C$9:$G$9,1),1),"")</f>
        <v/>
      </c>
      <c r="P143" s="45" t="str">
        <f aca="false">IF(COUNTA($A143:$F143)=0,"",IF(Q143="","Y","N"))</f>
        <v/>
      </c>
      <c r="Q143" s="46" t="str">
        <f aca="false">IF(COUNTA($A143:$F143)=0,"",IF($A143="","ID missing",IF(TRIM($F143)="Exclude","Excluded by plan status",IF(AND(TRIM($F143)&lt;&gt;"",TRIM($F143)&lt;&gt;"Include"),"Plan status not valid (use Include or Exclude)",IF(NOT(ISNUMBER($C143)),"Hire date missing or not a date",IF($C143&gt;Cutoff,"Hired after cutoff",IF(NOT(ISNUMBER($E143)),"Salary missing or not a number",IF($E143&lt;=0,"Salary missing or not a number",IF(OR(NOT(ISNUMBER(I143)),NOT(ISNUMBER(J143)),NOT(ISNUMBER(K143))),"Grade not found in Ranges",IF($D143="","Rating missing",IF($D143="NR","Not rated (NR)",IF(NOT(ISNUMBER(MATCH($D143,Matrix!$A$14:$A$18,0))),"Rating not valid (use 1 to 5 or NR)",IF(NOT(ISNUMBER(O143)),"Band not found (check range and limits)","")))))))))))))</f>
        <v/>
      </c>
      <c r="R143" s="47" t="str">
        <f aca="false">IF($P143="Y",INDEX(Matrix!$C$14:$G$18,MATCH($D143,Matrix!$A$14:$A$18,0),$O143),IF($P143="N",0,""))</f>
        <v/>
      </c>
      <c r="S143" s="47" t="str">
        <f aca="false">IF($P143="Y",IF(AND(ISNUMBER($G143),$G143&gt;=0,$G143&lt;=1),$G143,$R143),IF($P143="N",0,""))</f>
        <v/>
      </c>
      <c r="T143" s="48" t="str">
        <f aca="false">IF($P143&lt;&gt;"Y",IF($P143="N",0,""),IF(ProrateMethod="None",1,IF($C143&lt;=PeriodStart,1,IF(ProrateMethod="Daily",MAX(0,MIN(1,(PeriodEnd-$C143+1)/(PeriodEnd-PeriodStart+1))),MAX(0,MIN(1,((YEAR(PeriodEnd)-YEAR($C143))*12+MONTH(PeriodEnd)-MONTH($C143)+1-IF(DAY($C143)&gt;MonthCutDay,1,0))/PeriodMonths))))))</f>
        <v/>
      </c>
      <c r="U143" s="47" t="str">
        <f aca="false">IF($P143="","",$S143*$T143)</f>
        <v/>
      </c>
      <c r="V143" s="49" t="str">
        <f aca="false">IF($P143="","",IF(ISNUMBER($E143),$E143,0)*$R143)</f>
        <v/>
      </c>
      <c r="W143" s="49" t="str">
        <f aca="false">IF($P143="","",IF(ISNUMBER($E143),$E143,0)*$S143)</f>
        <v/>
      </c>
      <c r="X143" s="49" t="str">
        <f aca="false">IF($P143="","",IF(ISNUMBER($E143),$E143,0)*$U143)</f>
        <v/>
      </c>
      <c r="Y143" s="49" t="str">
        <f aca="false">IF($P143="","",IF(AND(CapAtMax="Yes",$P143="Y"),MAX(0,MIN($X143,$K143-$E143)),$X143))</f>
        <v/>
      </c>
      <c r="Z143" s="41" t="str">
        <f aca="false">IF(OR($P143="",NOT(ISNUMBER($E143))),"",$E143+$Y143)</f>
        <v/>
      </c>
      <c r="AA143" s="42" t="str">
        <f aca="false">IF(AND(ISNUMBER(Z143),ISNUMBER(J143)),IF(J143&gt;0,Z143/J143,""),"")</f>
        <v/>
      </c>
      <c r="AB143" s="46" t="str">
        <f aca="false">IF($P143="","",TRIM(IF(AND($P143="Y",ISNUMBER(K143),ISNUMBER(Z143)),IF(Z143&gt;K143,"Above range max. ",""),"")&amp;IF(AND($P143="Y",ISNUMBER($X143),ISNUMBER($Y143)),IF($X143-$Y143&gt;0.005,"Capped at range max. ",""),"")&amp;IF(AND(AND(ISNUMBER($G143),$G143&gt;=0,$G143&lt;=1),$H143=""),"Override needs a reason. ","")&amp;IF(AND(AND(ISNUMBER($G143),$G143&gt;=0,$G143&lt;=1),$P143&lt;&gt;"Y"),"Override ignored. ","")&amp;IF(AND($G143&lt;&gt;"",NOT(AND(ISNUMBER($G143),$G143&gt;=0,$G143&lt;=1))),"Override not valid, ignored. ","")&amp;IF(AND($A143&lt;&gt;"",COUNTIF($A$5:$A$254,$A143)&gt;1),"Duplicate ID. ","")))</f>
        <v/>
      </c>
    </row>
    <row r="144" customFormat="false" ht="15" hidden="false" customHeight="false" outlineLevel="0" collapsed="false">
      <c r="A144" s="18"/>
      <c r="B144" s="38"/>
      <c r="C144" s="39"/>
      <c r="D144" s="38"/>
      <c r="E144" s="19"/>
      <c r="F144" s="38"/>
      <c r="G144" s="40"/>
      <c r="H144" s="18"/>
      <c r="I144" s="41" t="str">
        <f aca="false">IF(COUNTA($A144:$F144)=0,"",IF($B144="","",IFERROR(INDEX(Ranges!$B$5:$B$16,MATCH($B144,Ranges!$A$5:$A$16,0)),"")))</f>
        <v/>
      </c>
      <c r="J144" s="41" t="str">
        <f aca="false">IF(COUNTA($A144:$F144)=0,"",IF($B144="","",IFERROR(INDEX(Ranges!$C$5:$C$16,MATCH($B144,Ranges!$A$5:$A$16,0)),"")))</f>
        <v/>
      </c>
      <c r="K144" s="41" t="str">
        <f aca="false">IF(COUNTA($A144:$F144)=0,"",IF($B144="","",IFERROR(INDEX(Ranges!$D$5:$D$16,MATCH($B144,Ranges!$A$5:$A$16,0)),"")))</f>
        <v/>
      </c>
      <c r="L144" s="42" t="str">
        <f aca="false">IF(OR(NOT(ISNUMBER($E144)),NOT(ISNUMBER(J144))),"",IF(J144&gt;0,$E144/J144,""))</f>
        <v/>
      </c>
      <c r="M144" s="43" t="str">
        <f aca="false">IF(OR(NOT(ISNUMBER($E144)),NOT(ISNUMBER(I144)),NOT(ISNUMBER(K144))),"",IF(K144&gt;I144,($E144-I144)/(K144-I144),""))</f>
        <v/>
      </c>
      <c r="N144" s="42" t="str">
        <f aca="false">IF(Basis="Compa-ratio",L144,M144)</f>
        <v/>
      </c>
      <c r="O144" s="44" t="str">
        <f aca="false">IF(ISNUMBER(N144),IFERROR(MATCH(N144,Matrix!$C$9:$G$9,1),1),"")</f>
        <v/>
      </c>
      <c r="P144" s="45" t="str">
        <f aca="false">IF(COUNTA($A144:$F144)=0,"",IF(Q144="","Y","N"))</f>
        <v/>
      </c>
      <c r="Q144" s="46" t="str">
        <f aca="false">IF(COUNTA($A144:$F144)=0,"",IF($A144="","ID missing",IF(TRIM($F144)="Exclude","Excluded by plan status",IF(AND(TRIM($F144)&lt;&gt;"",TRIM($F144)&lt;&gt;"Include"),"Plan status not valid (use Include or Exclude)",IF(NOT(ISNUMBER($C144)),"Hire date missing or not a date",IF($C144&gt;Cutoff,"Hired after cutoff",IF(NOT(ISNUMBER($E144)),"Salary missing or not a number",IF($E144&lt;=0,"Salary missing or not a number",IF(OR(NOT(ISNUMBER(I144)),NOT(ISNUMBER(J144)),NOT(ISNUMBER(K144))),"Grade not found in Ranges",IF($D144="","Rating missing",IF($D144="NR","Not rated (NR)",IF(NOT(ISNUMBER(MATCH($D144,Matrix!$A$14:$A$18,0))),"Rating not valid (use 1 to 5 or NR)",IF(NOT(ISNUMBER(O144)),"Band not found (check range and limits)","")))))))))))))</f>
        <v/>
      </c>
      <c r="R144" s="47" t="str">
        <f aca="false">IF($P144="Y",INDEX(Matrix!$C$14:$G$18,MATCH($D144,Matrix!$A$14:$A$18,0),$O144),IF($P144="N",0,""))</f>
        <v/>
      </c>
      <c r="S144" s="47" t="str">
        <f aca="false">IF($P144="Y",IF(AND(ISNUMBER($G144),$G144&gt;=0,$G144&lt;=1),$G144,$R144),IF($P144="N",0,""))</f>
        <v/>
      </c>
      <c r="T144" s="48" t="str">
        <f aca="false">IF($P144&lt;&gt;"Y",IF($P144="N",0,""),IF(ProrateMethod="None",1,IF($C144&lt;=PeriodStart,1,IF(ProrateMethod="Daily",MAX(0,MIN(1,(PeriodEnd-$C144+1)/(PeriodEnd-PeriodStart+1))),MAX(0,MIN(1,((YEAR(PeriodEnd)-YEAR($C144))*12+MONTH(PeriodEnd)-MONTH($C144)+1-IF(DAY($C144)&gt;MonthCutDay,1,0))/PeriodMonths))))))</f>
        <v/>
      </c>
      <c r="U144" s="47" t="str">
        <f aca="false">IF($P144="","",$S144*$T144)</f>
        <v/>
      </c>
      <c r="V144" s="49" t="str">
        <f aca="false">IF($P144="","",IF(ISNUMBER($E144),$E144,0)*$R144)</f>
        <v/>
      </c>
      <c r="W144" s="49" t="str">
        <f aca="false">IF($P144="","",IF(ISNUMBER($E144),$E144,0)*$S144)</f>
        <v/>
      </c>
      <c r="X144" s="49" t="str">
        <f aca="false">IF($P144="","",IF(ISNUMBER($E144),$E144,0)*$U144)</f>
        <v/>
      </c>
      <c r="Y144" s="49" t="str">
        <f aca="false">IF($P144="","",IF(AND(CapAtMax="Yes",$P144="Y"),MAX(0,MIN($X144,$K144-$E144)),$X144))</f>
        <v/>
      </c>
      <c r="Z144" s="41" t="str">
        <f aca="false">IF(OR($P144="",NOT(ISNUMBER($E144))),"",$E144+$Y144)</f>
        <v/>
      </c>
      <c r="AA144" s="42" t="str">
        <f aca="false">IF(AND(ISNUMBER(Z144),ISNUMBER(J144)),IF(J144&gt;0,Z144/J144,""),"")</f>
        <v/>
      </c>
      <c r="AB144" s="46" t="str">
        <f aca="false">IF($P144="","",TRIM(IF(AND($P144="Y",ISNUMBER(K144),ISNUMBER(Z144)),IF(Z144&gt;K144,"Above range max. ",""),"")&amp;IF(AND($P144="Y",ISNUMBER($X144),ISNUMBER($Y144)),IF($X144-$Y144&gt;0.005,"Capped at range max. ",""),"")&amp;IF(AND(AND(ISNUMBER($G144),$G144&gt;=0,$G144&lt;=1),$H144=""),"Override needs a reason. ","")&amp;IF(AND(AND(ISNUMBER($G144),$G144&gt;=0,$G144&lt;=1),$P144&lt;&gt;"Y"),"Override ignored. ","")&amp;IF(AND($G144&lt;&gt;"",NOT(AND(ISNUMBER($G144),$G144&gt;=0,$G144&lt;=1))),"Override not valid, ignored. ","")&amp;IF(AND($A144&lt;&gt;"",COUNTIF($A$5:$A$254,$A144)&gt;1),"Duplicate ID. ","")))</f>
        <v/>
      </c>
    </row>
    <row r="145" customFormat="false" ht="15" hidden="false" customHeight="false" outlineLevel="0" collapsed="false">
      <c r="A145" s="18"/>
      <c r="B145" s="38"/>
      <c r="C145" s="39"/>
      <c r="D145" s="38"/>
      <c r="E145" s="19"/>
      <c r="F145" s="38"/>
      <c r="G145" s="40"/>
      <c r="H145" s="18"/>
      <c r="I145" s="41" t="str">
        <f aca="false">IF(COUNTA($A145:$F145)=0,"",IF($B145="","",IFERROR(INDEX(Ranges!$B$5:$B$16,MATCH($B145,Ranges!$A$5:$A$16,0)),"")))</f>
        <v/>
      </c>
      <c r="J145" s="41" t="str">
        <f aca="false">IF(COUNTA($A145:$F145)=0,"",IF($B145="","",IFERROR(INDEX(Ranges!$C$5:$C$16,MATCH($B145,Ranges!$A$5:$A$16,0)),"")))</f>
        <v/>
      </c>
      <c r="K145" s="41" t="str">
        <f aca="false">IF(COUNTA($A145:$F145)=0,"",IF($B145="","",IFERROR(INDEX(Ranges!$D$5:$D$16,MATCH($B145,Ranges!$A$5:$A$16,0)),"")))</f>
        <v/>
      </c>
      <c r="L145" s="42" t="str">
        <f aca="false">IF(OR(NOT(ISNUMBER($E145)),NOT(ISNUMBER(J145))),"",IF(J145&gt;0,$E145/J145,""))</f>
        <v/>
      </c>
      <c r="M145" s="43" t="str">
        <f aca="false">IF(OR(NOT(ISNUMBER($E145)),NOT(ISNUMBER(I145)),NOT(ISNUMBER(K145))),"",IF(K145&gt;I145,($E145-I145)/(K145-I145),""))</f>
        <v/>
      </c>
      <c r="N145" s="42" t="str">
        <f aca="false">IF(Basis="Compa-ratio",L145,M145)</f>
        <v/>
      </c>
      <c r="O145" s="44" t="str">
        <f aca="false">IF(ISNUMBER(N145),IFERROR(MATCH(N145,Matrix!$C$9:$G$9,1),1),"")</f>
        <v/>
      </c>
      <c r="P145" s="45" t="str">
        <f aca="false">IF(COUNTA($A145:$F145)=0,"",IF(Q145="","Y","N"))</f>
        <v/>
      </c>
      <c r="Q145" s="46" t="str">
        <f aca="false">IF(COUNTA($A145:$F145)=0,"",IF($A145="","ID missing",IF(TRIM($F145)="Exclude","Excluded by plan status",IF(AND(TRIM($F145)&lt;&gt;"",TRIM($F145)&lt;&gt;"Include"),"Plan status not valid (use Include or Exclude)",IF(NOT(ISNUMBER($C145)),"Hire date missing or not a date",IF($C145&gt;Cutoff,"Hired after cutoff",IF(NOT(ISNUMBER($E145)),"Salary missing or not a number",IF($E145&lt;=0,"Salary missing or not a number",IF(OR(NOT(ISNUMBER(I145)),NOT(ISNUMBER(J145)),NOT(ISNUMBER(K145))),"Grade not found in Ranges",IF($D145="","Rating missing",IF($D145="NR","Not rated (NR)",IF(NOT(ISNUMBER(MATCH($D145,Matrix!$A$14:$A$18,0))),"Rating not valid (use 1 to 5 or NR)",IF(NOT(ISNUMBER(O145)),"Band not found (check range and limits)","")))))))))))))</f>
        <v/>
      </c>
      <c r="R145" s="47" t="str">
        <f aca="false">IF($P145="Y",INDEX(Matrix!$C$14:$G$18,MATCH($D145,Matrix!$A$14:$A$18,0),$O145),IF($P145="N",0,""))</f>
        <v/>
      </c>
      <c r="S145" s="47" t="str">
        <f aca="false">IF($P145="Y",IF(AND(ISNUMBER($G145),$G145&gt;=0,$G145&lt;=1),$G145,$R145),IF($P145="N",0,""))</f>
        <v/>
      </c>
      <c r="T145" s="48" t="str">
        <f aca="false">IF($P145&lt;&gt;"Y",IF($P145="N",0,""),IF(ProrateMethod="None",1,IF($C145&lt;=PeriodStart,1,IF(ProrateMethod="Daily",MAX(0,MIN(1,(PeriodEnd-$C145+1)/(PeriodEnd-PeriodStart+1))),MAX(0,MIN(1,((YEAR(PeriodEnd)-YEAR($C145))*12+MONTH(PeriodEnd)-MONTH($C145)+1-IF(DAY($C145)&gt;MonthCutDay,1,0))/PeriodMonths))))))</f>
        <v/>
      </c>
      <c r="U145" s="47" t="str">
        <f aca="false">IF($P145="","",$S145*$T145)</f>
        <v/>
      </c>
      <c r="V145" s="49" t="str">
        <f aca="false">IF($P145="","",IF(ISNUMBER($E145),$E145,0)*$R145)</f>
        <v/>
      </c>
      <c r="W145" s="49" t="str">
        <f aca="false">IF($P145="","",IF(ISNUMBER($E145),$E145,0)*$S145)</f>
        <v/>
      </c>
      <c r="X145" s="49" t="str">
        <f aca="false">IF($P145="","",IF(ISNUMBER($E145),$E145,0)*$U145)</f>
        <v/>
      </c>
      <c r="Y145" s="49" t="str">
        <f aca="false">IF($P145="","",IF(AND(CapAtMax="Yes",$P145="Y"),MAX(0,MIN($X145,$K145-$E145)),$X145))</f>
        <v/>
      </c>
      <c r="Z145" s="41" t="str">
        <f aca="false">IF(OR($P145="",NOT(ISNUMBER($E145))),"",$E145+$Y145)</f>
        <v/>
      </c>
      <c r="AA145" s="42" t="str">
        <f aca="false">IF(AND(ISNUMBER(Z145),ISNUMBER(J145)),IF(J145&gt;0,Z145/J145,""),"")</f>
        <v/>
      </c>
      <c r="AB145" s="46" t="str">
        <f aca="false">IF($P145="","",TRIM(IF(AND($P145="Y",ISNUMBER(K145),ISNUMBER(Z145)),IF(Z145&gt;K145,"Above range max. ",""),"")&amp;IF(AND($P145="Y",ISNUMBER($X145),ISNUMBER($Y145)),IF($X145-$Y145&gt;0.005,"Capped at range max. ",""),"")&amp;IF(AND(AND(ISNUMBER($G145),$G145&gt;=0,$G145&lt;=1),$H145=""),"Override needs a reason. ","")&amp;IF(AND(AND(ISNUMBER($G145),$G145&gt;=0,$G145&lt;=1),$P145&lt;&gt;"Y"),"Override ignored. ","")&amp;IF(AND($G145&lt;&gt;"",NOT(AND(ISNUMBER($G145),$G145&gt;=0,$G145&lt;=1))),"Override not valid, ignored. ","")&amp;IF(AND($A145&lt;&gt;"",COUNTIF($A$5:$A$254,$A145)&gt;1),"Duplicate ID. ","")))</f>
        <v/>
      </c>
    </row>
    <row r="146" customFormat="false" ht="15" hidden="false" customHeight="false" outlineLevel="0" collapsed="false">
      <c r="A146" s="18"/>
      <c r="B146" s="38"/>
      <c r="C146" s="39"/>
      <c r="D146" s="38"/>
      <c r="E146" s="19"/>
      <c r="F146" s="38"/>
      <c r="G146" s="40"/>
      <c r="H146" s="18"/>
      <c r="I146" s="41" t="str">
        <f aca="false">IF(COUNTA($A146:$F146)=0,"",IF($B146="","",IFERROR(INDEX(Ranges!$B$5:$B$16,MATCH($B146,Ranges!$A$5:$A$16,0)),"")))</f>
        <v/>
      </c>
      <c r="J146" s="41" t="str">
        <f aca="false">IF(COUNTA($A146:$F146)=0,"",IF($B146="","",IFERROR(INDEX(Ranges!$C$5:$C$16,MATCH($B146,Ranges!$A$5:$A$16,0)),"")))</f>
        <v/>
      </c>
      <c r="K146" s="41" t="str">
        <f aca="false">IF(COUNTA($A146:$F146)=0,"",IF($B146="","",IFERROR(INDEX(Ranges!$D$5:$D$16,MATCH($B146,Ranges!$A$5:$A$16,0)),"")))</f>
        <v/>
      </c>
      <c r="L146" s="42" t="str">
        <f aca="false">IF(OR(NOT(ISNUMBER($E146)),NOT(ISNUMBER(J146))),"",IF(J146&gt;0,$E146/J146,""))</f>
        <v/>
      </c>
      <c r="M146" s="43" t="str">
        <f aca="false">IF(OR(NOT(ISNUMBER($E146)),NOT(ISNUMBER(I146)),NOT(ISNUMBER(K146))),"",IF(K146&gt;I146,($E146-I146)/(K146-I146),""))</f>
        <v/>
      </c>
      <c r="N146" s="42" t="str">
        <f aca="false">IF(Basis="Compa-ratio",L146,M146)</f>
        <v/>
      </c>
      <c r="O146" s="44" t="str">
        <f aca="false">IF(ISNUMBER(N146),IFERROR(MATCH(N146,Matrix!$C$9:$G$9,1),1),"")</f>
        <v/>
      </c>
      <c r="P146" s="45" t="str">
        <f aca="false">IF(COUNTA($A146:$F146)=0,"",IF(Q146="","Y","N"))</f>
        <v/>
      </c>
      <c r="Q146" s="46" t="str">
        <f aca="false">IF(COUNTA($A146:$F146)=0,"",IF($A146="","ID missing",IF(TRIM($F146)="Exclude","Excluded by plan status",IF(AND(TRIM($F146)&lt;&gt;"",TRIM($F146)&lt;&gt;"Include"),"Plan status not valid (use Include or Exclude)",IF(NOT(ISNUMBER($C146)),"Hire date missing or not a date",IF($C146&gt;Cutoff,"Hired after cutoff",IF(NOT(ISNUMBER($E146)),"Salary missing or not a number",IF($E146&lt;=0,"Salary missing or not a number",IF(OR(NOT(ISNUMBER(I146)),NOT(ISNUMBER(J146)),NOT(ISNUMBER(K146))),"Grade not found in Ranges",IF($D146="","Rating missing",IF($D146="NR","Not rated (NR)",IF(NOT(ISNUMBER(MATCH($D146,Matrix!$A$14:$A$18,0))),"Rating not valid (use 1 to 5 or NR)",IF(NOT(ISNUMBER(O146)),"Band not found (check range and limits)","")))))))))))))</f>
        <v/>
      </c>
      <c r="R146" s="47" t="str">
        <f aca="false">IF($P146="Y",INDEX(Matrix!$C$14:$G$18,MATCH($D146,Matrix!$A$14:$A$18,0),$O146),IF($P146="N",0,""))</f>
        <v/>
      </c>
      <c r="S146" s="47" t="str">
        <f aca="false">IF($P146="Y",IF(AND(ISNUMBER($G146),$G146&gt;=0,$G146&lt;=1),$G146,$R146),IF($P146="N",0,""))</f>
        <v/>
      </c>
      <c r="T146" s="48" t="str">
        <f aca="false">IF($P146&lt;&gt;"Y",IF($P146="N",0,""),IF(ProrateMethod="None",1,IF($C146&lt;=PeriodStart,1,IF(ProrateMethod="Daily",MAX(0,MIN(1,(PeriodEnd-$C146+1)/(PeriodEnd-PeriodStart+1))),MAX(0,MIN(1,((YEAR(PeriodEnd)-YEAR($C146))*12+MONTH(PeriodEnd)-MONTH($C146)+1-IF(DAY($C146)&gt;MonthCutDay,1,0))/PeriodMonths))))))</f>
        <v/>
      </c>
      <c r="U146" s="47" t="str">
        <f aca="false">IF($P146="","",$S146*$T146)</f>
        <v/>
      </c>
      <c r="V146" s="49" t="str">
        <f aca="false">IF($P146="","",IF(ISNUMBER($E146),$E146,0)*$R146)</f>
        <v/>
      </c>
      <c r="W146" s="49" t="str">
        <f aca="false">IF($P146="","",IF(ISNUMBER($E146),$E146,0)*$S146)</f>
        <v/>
      </c>
      <c r="X146" s="49" t="str">
        <f aca="false">IF($P146="","",IF(ISNUMBER($E146),$E146,0)*$U146)</f>
        <v/>
      </c>
      <c r="Y146" s="49" t="str">
        <f aca="false">IF($P146="","",IF(AND(CapAtMax="Yes",$P146="Y"),MAX(0,MIN($X146,$K146-$E146)),$X146))</f>
        <v/>
      </c>
      <c r="Z146" s="41" t="str">
        <f aca="false">IF(OR($P146="",NOT(ISNUMBER($E146))),"",$E146+$Y146)</f>
        <v/>
      </c>
      <c r="AA146" s="42" t="str">
        <f aca="false">IF(AND(ISNUMBER(Z146),ISNUMBER(J146)),IF(J146&gt;0,Z146/J146,""),"")</f>
        <v/>
      </c>
      <c r="AB146" s="46" t="str">
        <f aca="false">IF($P146="","",TRIM(IF(AND($P146="Y",ISNUMBER(K146),ISNUMBER(Z146)),IF(Z146&gt;K146,"Above range max. ",""),"")&amp;IF(AND($P146="Y",ISNUMBER($X146),ISNUMBER($Y146)),IF($X146-$Y146&gt;0.005,"Capped at range max. ",""),"")&amp;IF(AND(AND(ISNUMBER($G146),$G146&gt;=0,$G146&lt;=1),$H146=""),"Override needs a reason. ","")&amp;IF(AND(AND(ISNUMBER($G146),$G146&gt;=0,$G146&lt;=1),$P146&lt;&gt;"Y"),"Override ignored. ","")&amp;IF(AND($G146&lt;&gt;"",NOT(AND(ISNUMBER($G146),$G146&gt;=0,$G146&lt;=1))),"Override not valid, ignored. ","")&amp;IF(AND($A146&lt;&gt;"",COUNTIF($A$5:$A$254,$A146)&gt;1),"Duplicate ID. ","")))</f>
        <v/>
      </c>
    </row>
    <row r="147" customFormat="false" ht="15" hidden="false" customHeight="false" outlineLevel="0" collapsed="false">
      <c r="A147" s="18"/>
      <c r="B147" s="38"/>
      <c r="C147" s="39"/>
      <c r="D147" s="38"/>
      <c r="E147" s="19"/>
      <c r="F147" s="38"/>
      <c r="G147" s="40"/>
      <c r="H147" s="18"/>
      <c r="I147" s="41" t="str">
        <f aca="false">IF(COUNTA($A147:$F147)=0,"",IF($B147="","",IFERROR(INDEX(Ranges!$B$5:$B$16,MATCH($B147,Ranges!$A$5:$A$16,0)),"")))</f>
        <v/>
      </c>
      <c r="J147" s="41" t="str">
        <f aca="false">IF(COUNTA($A147:$F147)=0,"",IF($B147="","",IFERROR(INDEX(Ranges!$C$5:$C$16,MATCH($B147,Ranges!$A$5:$A$16,0)),"")))</f>
        <v/>
      </c>
      <c r="K147" s="41" t="str">
        <f aca="false">IF(COUNTA($A147:$F147)=0,"",IF($B147="","",IFERROR(INDEX(Ranges!$D$5:$D$16,MATCH($B147,Ranges!$A$5:$A$16,0)),"")))</f>
        <v/>
      </c>
      <c r="L147" s="42" t="str">
        <f aca="false">IF(OR(NOT(ISNUMBER($E147)),NOT(ISNUMBER(J147))),"",IF(J147&gt;0,$E147/J147,""))</f>
        <v/>
      </c>
      <c r="M147" s="43" t="str">
        <f aca="false">IF(OR(NOT(ISNUMBER($E147)),NOT(ISNUMBER(I147)),NOT(ISNUMBER(K147))),"",IF(K147&gt;I147,($E147-I147)/(K147-I147),""))</f>
        <v/>
      </c>
      <c r="N147" s="42" t="str">
        <f aca="false">IF(Basis="Compa-ratio",L147,M147)</f>
        <v/>
      </c>
      <c r="O147" s="44" t="str">
        <f aca="false">IF(ISNUMBER(N147),IFERROR(MATCH(N147,Matrix!$C$9:$G$9,1),1),"")</f>
        <v/>
      </c>
      <c r="P147" s="45" t="str">
        <f aca="false">IF(COUNTA($A147:$F147)=0,"",IF(Q147="","Y","N"))</f>
        <v/>
      </c>
      <c r="Q147" s="46" t="str">
        <f aca="false">IF(COUNTA($A147:$F147)=0,"",IF($A147="","ID missing",IF(TRIM($F147)="Exclude","Excluded by plan status",IF(AND(TRIM($F147)&lt;&gt;"",TRIM($F147)&lt;&gt;"Include"),"Plan status not valid (use Include or Exclude)",IF(NOT(ISNUMBER($C147)),"Hire date missing or not a date",IF($C147&gt;Cutoff,"Hired after cutoff",IF(NOT(ISNUMBER($E147)),"Salary missing or not a number",IF($E147&lt;=0,"Salary missing or not a number",IF(OR(NOT(ISNUMBER(I147)),NOT(ISNUMBER(J147)),NOT(ISNUMBER(K147))),"Grade not found in Ranges",IF($D147="","Rating missing",IF($D147="NR","Not rated (NR)",IF(NOT(ISNUMBER(MATCH($D147,Matrix!$A$14:$A$18,0))),"Rating not valid (use 1 to 5 or NR)",IF(NOT(ISNUMBER(O147)),"Band not found (check range and limits)","")))))))))))))</f>
        <v/>
      </c>
      <c r="R147" s="47" t="str">
        <f aca="false">IF($P147="Y",INDEX(Matrix!$C$14:$G$18,MATCH($D147,Matrix!$A$14:$A$18,0),$O147),IF($P147="N",0,""))</f>
        <v/>
      </c>
      <c r="S147" s="47" t="str">
        <f aca="false">IF($P147="Y",IF(AND(ISNUMBER($G147),$G147&gt;=0,$G147&lt;=1),$G147,$R147),IF($P147="N",0,""))</f>
        <v/>
      </c>
      <c r="T147" s="48" t="str">
        <f aca="false">IF($P147&lt;&gt;"Y",IF($P147="N",0,""),IF(ProrateMethod="None",1,IF($C147&lt;=PeriodStart,1,IF(ProrateMethod="Daily",MAX(0,MIN(1,(PeriodEnd-$C147+1)/(PeriodEnd-PeriodStart+1))),MAX(0,MIN(1,((YEAR(PeriodEnd)-YEAR($C147))*12+MONTH(PeriodEnd)-MONTH($C147)+1-IF(DAY($C147)&gt;MonthCutDay,1,0))/PeriodMonths))))))</f>
        <v/>
      </c>
      <c r="U147" s="47" t="str">
        <f aca="false">IF($P147="","",$S147*$T147)</f>
        <v/>
      </c>
      <c r="V147" s="49" t="str">
        <f aca="false">IF($P147="","",IF(ISNUMBER($E147),$E147,0)*$R147)</f>
        <v/>
      </c>
      <c r="W147" s="49" t="str">
        <f aca="false">IF($P147="","",IF(ISNUMBER($E147),$E147,0)*$S147)</f>
        <v/>
      </c>
      <c r="X147" s="49" t="str">
        <f aca="false">IF($P147="","",IF(ISNUMBER($E147),$E147,0)*$U147)</f>
        <v/>
      </c>
      <c r="Y147" s="49" t="str">
        <f aca="false">IF($P147="","",IF(AND(CapAtMax="Yes",$P147="Y"),MAX(0,MIN($X147,$K147-$E147)),$X147))</f>
        <v/>
      </c>
      <c r="Z147" s="41" t="str">
        <f aca="false">IF(OR($P147="",NOT(ISNUMBER($E147))),"",$E147+$Y147)</f>
        <v/>
      </c>
      <c r="AA147" s="42" t="str">
        <f aca="false">IF(AND(ISNUMBER(Z147),ISNUMBER(J147)),IF(J147&gt;0,Z147/J147,""),"")</f>
        <v/>
      </c>
      <c r="AB147" s="46" t="str">
        <f aca="false">IF($P147="","",TRIM(IF(AND($P147="Y",ISNUMBER(K147),ISNUMBER(Z147)),IF(Z147&gt;K147,"Above range max. ",""),"")&amp;IF(AND($P147="Y",ISNUMBER($X147),ISNUMBER($Y147)),IF($X147-$Y147&gt;0.005,"Capped at range max. ",""),"")&amp;IF(AND(AND(ISNUMBER($G147),$G147&gt;=0,$G147&lt;=1),$H147=""),"Override needs a reason. ","")&amp;IF(AND(AND(ISNUMBER($G147),$G147&gt;=0,$G147&lt;=1),$P147&lt;&gt;"Y"),"Override ignored. ","")&amp;IF(AND($G147&lt;&gt;"",NOT(AND(ISNUMBER($G147),$G147&gt;=0,$G147&lt;=1))),"Override not valid, ignored. ","")&amp;IF(AND($A147&lt;&gt;"",COUNTIF($A$5:$A$254,$A147)&gt;1),"Duplicate ID. ","")))</f>
        <v/>
      </c>
    </row>
    <row r="148" customFormat="false" ht="15" hidden="false" customHeight="false" outlineLevel="0" collapsed="false">
      <c r="A148" s="18"/>
      <c r="B148" s="38"/>
      <c r="C148" s="39"/>
      <c r="D148" s="38"/>
      <c r="E148" s="19"/>
      <c r="F148" s="38"/>
      <c r="G148" s="40"/>
      <c r="H148" s="18"/>
      <c r="I148" s="41" t="str">
        <f aca="false">IF(COUNTA($A148:$F148)=0,"",IF($B148="","",IFERROR(INDEX(Ranges!$B$5:$B$16,MATCH($B148,Ranges!$A$5:$A$16,0)),"")))</f>
        <v/>
      </c>
      <c r="J148" s="41" t="str">
        <f aca="false">IF(COUNTA($A148:$F148)=0,"",IF($B148="","",IFERROR(INDEX(Ranges!$C$5:$C$16,MATCH($B148,Ranges!$A$5:$A$16,0)),"")))</f>
        <v/>
      </c>
      <c r="K148" s="41" t="str">
        <f aca="false">IF(COUNTA($A148:$F148)=0,"",IF($B148="","",IFERROR(INDEX(Ranges!$D$5:$D$16,MATCH($B148,Ranges!$A$5:$A$16,0)),"")))</f>
        <v/>
      </c>
      <c r="L148" s="42" t="str">
        <f aca="false">IF(OR(NOT(ISNUMBER($E148)),NOT(ISNUMBER(J148))),"",IF(J148&gt;0,$E148/J148,""))</f>
        <v/>
      </c>
      <c r="M148" s="43" t="str">
        <f aca="false">IF(OR(NOT(ISNUMBER($E148)),NOT(ISNUMBER(I148)),NOT(ISNUMBER(K148))),"",IF(K148&gt;I148,($E148-I148)/(K148-I148),""))</f>
        <v/>
      </c>
      <c r="N148" s="42" t="str">
        <f aca="false">IF(Basis="Compa-ratio",L148,M148)</f>
        <v/>
      </c>
      <c r="O148" s="44" t="str">
        <f aca="false">IF(ISNUMBER(N148),IFERROR(MATCH(N148,Matrix!$C$9:$G$9,1),1),"")</f>
        <v/>
      </c>
      <c r="P148" s="45" t="str">
        <f aca="false">IF(COUNTA($A148:$F148)=0,"",IF(Q148="","Y","N"))</f>
        <v/>
      </c>
      <c r="Q148" s="46" t="str">
        <f aca="false">IF(COUNTA($A148:$F148)=0,"",IF($A148="","ID missing",IF(TRIM($F148)="Exclude","Excluded by plan status",IF(AND(TRIM($F148)&lt;&gt;"",TRIM($F148)&lt;&gt;"Include"),"Plan status not valid (use Include or Exclude)",IF(NOT(ISNUMBER($C148)),"Hire date missing or not a date",IF($C148&gt;Cutoff,"Hired after cutoff",IF(NOT(ISNUMBER($E148)),"Salary missing or not a number",IF($E148&lt;=0,"Salary missing or not a number",IF(OR(NOT(ISNUMBER(I148)),NOT(ISNUMBER(J148)),NOT(ISNUMBER(K148))),"Grade not found in Ranges",IF($D148="","Rating missing",IF($D148="NR","Not rated (NR)",IF(NOT(ISNUMBER(MATCH($D148,Matrix!$A$14:$A$18,0))),"Rating not valid (use 1 to 5 or NR)",IF(NOT(ISNUMBER(O148)),"Band not found (check range and limits)","")))))))))))))</f>
        <v/>
      </c>
      <c r="R148" s="47" t="str">
        <f aca="false">IF($P148="Y",INDEX(Matrix!$C$14:$G$18,MATCH($D148,Matrix!$A$14:$A$18,0),$O148),IF($P148="N",0,""))</f>
        <v/>
      </c>
      <c r="S148" s="47" t="str">
        <f aca="false">IF($P148="Y",IF(AND(ISNUMBER($G148),$G148&gt;=0,$G148&lt;=1),$G148,$R148),IF($P148="N",0,""))</f>
        <v/>
      </c>
      <c r="T148" s="48" t="str">
        <f aca="false">IF($P148&lt;&gt;"Y",IF($P148="N",0,""),IF(ProrateMethod="None",1,IF($C148&lt;=PeriodStart,1,IF(ProrateMethod="Daily",MAX(0,MIN(1,(PeriodEnd-$C148+1)/(PeriodEnd-PeriodStart+1))),MAX(0,MIN(1,((YEAR(PeriodEnd)-YEAR($C148))*12+MONTH(PeriodEnd)-MONTH($C148)+1-IF(DAY($C148)&gt;MonthCutDay,1,0))/PeriodMonths))))))</f>
        <v/>
      </c>
      <c r="U148" s="47" t="str">
        <f aca="false">IF($P148="","",$S148*$T148)</f>
        <v/>
      </c>
      <c r="V148" s="49" t="str">
        <f aca="false">IF($P148="","",IF(ISNUMBER($E148),$E148,0)*$R148)</f>
        <v/>
      </c>
      <c r="W148" s="49" t="str">
        <f aca="false">IF($P148="","",IF(ISNUMBER($E148),$E148,0)*$S148)</f>
        <v/>
      </c>
      <c r="X148" s="49" t="str">
        <f aca="false">IF($P148="","",IF(ISNUMBER($E148),$E148,0)*$U148)</f>
        <v/>
      </c>
      <c r="Y148" s="49" t="str">
        <f aca="false">IF($P148="","",IF(AND(CapAtMax="Yes",$P148="Y"),MAX(0,MIN($X148,$K148-$E148)),$X148))</f>
        <v/>
      </c>
      <c r="Z148" s="41" t="str">
        <f aca="false">IF(OR($P148="",NOT(ISNUMBER($E148))),"",$E148+$Y148)</f>
        <v/>
      </c>
      <c r="AA148" s="42" t="str">
        <f aca="false">IF(AND(ISNUMBER(Z148),ISNUMBER(J148)),IF(J148&gt;0,Z148/J148,""),"")</f>
        <v/>
      </c>
      <c r="AB148" s="46" t="str">
        <f aca="false">IF($P148="","",TRIM(IF(AND($P148="Y",ISNUMBER(K148),ISNUMBER(Z148)),IF(Z148&gt;K148,"Above range max. ",""),"")&amp;IF(AND($P148="Y",ISNUMBER($X148),ISNUMBER($Y148)),IF($X148-$Y148&gt;0.005,"Capped at range max. ",""),"")&amp;IF(AND(AND(ISNUMBER($G148),$G148&gt;=0,$G148&lt;=1),$H148=""),"Override needs a reason. ","")&amp;IF(AND(AND(ISNUMBER($G148),$G148&gt;=0,$G148&lt;=1),$P148&lt;&gt;"Y"),"Override ignored. ","")&amp;IF(AND($G148&lt;&gt;"",NOT(AND(ISNUMBER($G148),$G148&gt;=0,$G148&lt;=1))),"Override not valid, ignored. ","")&amp;IF(AND($A148&lt;&gt;"",COUNTIF($A$5:$A$254,$A148)&gt;1),"Duplicate ID. ","")))</f>
        <v/>
      </c>
    </row>
    <row r="149" customFormat="false" ht="15" hidden="false" customHeight="false" outlineLevel="0" collapsed="false">
      <c r="A149" s="18"/>
      <c r="B149" s="38"/>
      <c r="C149" s="39"/>
      <c r="D149" s="38"/>
      <c r="E149" s="19"/>
      <c r="F149" s="38"/>
      <c r="G149" s="40"/>
      <c r="H149" s="18"/>
      <c r="I149" s="41" t="str">
        <f aca="false">IF(COUNTA($A149:$F149)=0,"",IF($B149="","",IFERROR(INDEX(Ranges!$B$5:$B$16,MATCH($B149,Ranges!$A$5:$A$16,0)),"")))</f>
        <v/>
      </c>
      <c r="J149" s="41" t="str">
        <f aca="false">IF(COUNTA($A149:$F149)=0,"",IF($B149="","",IFERROR(INDEX(Ranges!$C$5:$C$16,MATCH($B149,Ranges!$A$5:$A$16,0)),"")))</f>
        <v/>
      </c>
      <c r="K149" s="41" t="str">
        <f aca="false">IF(COUNTA($A149:$F149)=0,"",IF($B149="","",IFERROR(INDEX(Ranges!$D$5:$D$16,MATCH($B149,Ranges!$A$5:$A$16,0)),"")))</f>
        <v/>
      </c>
      <c r="L149" s="42" t="str">
        <f aca="false">IF(OR(NOT(ISNUMBER($E149)),NOT(ISNUMBER(J149))),"",IF(J149&gt;0,$E149/J149,""))</f>
        <v/>
      </c>
      <c r="M149" s="43" t="str">
        <f aca="false">IF(OR(NOT(ISNUMBER($E149)),NOT(ISNUMBER(I149)),NOT(ISNUMBER(K149))),"",IF(K149&gt;I149,($E149-I149)/(K149-I149),""))</f>
        <v/>
      </c>
      <c r="N149" s="42" t="str">
        <f aca="false">IF(Basis="Compa-ratio",L149,M149)</f>
        <v/>
      </c>
      <c r="O149" s="44" t="str">
        <f aca="false">IF(ISNUMBER(N149),IFERROR(MATCH(N149,Matrix!$C$9:$G$9,1),1),"")</f>
        <v/>
      </c>
      <c r="P149" s="45" t="str">
        <f aca="false">IF(COUNTA($A149:$F149)=0,"",IF(Q149="","Y","N"))</f>
        <v/>
      </c>
      <c r="Q149" s="46" t="str">
        <f aca="false">IF(COUNTA($A149:$F149)=0,"",IF($A149="","ID missing",IF(TRIM($F149)="Exclude","Excluded by plan status",IF(AND(TRIM($F149)&lt;&gt;"",TRIM($F149)&lt;&gt;"Include"),"Plan status not valid (use Include or Exclude)",IF(NOT(ISNUMBER($C149)),"Hire date missing or not a date",IF($C149&gt;Cutoff,"Hired after cutoff",IF(NOT(ISNUMBER($E149)),"Salary missing or not a number",IF($E149&lt;=0,"Salary missing or not a number",IF(OR(NOT(ISNUMBER(I149)),NOT(ISNUMBER(J149)),NOT(ISNUMBER(K149))),"Grade not found in Ranges",IF($D149="","Rating missing",IF($D149="NR","Not rated (NR)",IF(NOT(ISNUMBER(MATCH($D149,Matrix!$A$14:$A$18,0))),"Rating not valid (use 1 to 5 or NR)",IF(NOT(ISNUMBER(O149)),"Band not found (check range and limits)","")))))))))))))</f>
        <v/>
      </c>
      <c r="R149" s="47" t="str">
        <f aca="false">IF($P149="Y",INDEX(Matrix!$C$14:$G$18,MATCH($D149,Matrix!$A$14:$A$18,0),$O149),IF($P149="N",0,""))</f>
        <v/>
      </c>
      <c r="S149" s="47" t="str">
        <f aca="false">IF($P149="Y",IF(AND(ISNUMBER($G149),$G149&gt;=0,$G149&lt;=1),$G149,$R149),IF($P149="N",0,""))</f>
        <v/>
      </c>
      <c r="T149" s="48" t="str">
        <f aca="false">IF($P149&lt;&gt;"Y",IF($P149="N",0,""),IF(ProrateMethod="None",1,IF($C149&lt;=PeriodStart,1,IF(ProrateMethod="Daily",MAX(0,MIN(1,(PeriodEnd-$C149+1)/(PeriodEnd-PeriodStart+1))),MAX(0,MIN(1,((YEAR(PeriodEnd)-YEAR($C149))*12+MONTH(PeriodEnd)-MONTH($C149)+1-IF(DAY($C149)&gt;MonthCutDay,1,0))/PeriodMonths))))))</f>
        <v/>
      </c>
      <c r="U149" s="47" t="str">
        <f aca="false">IF($P149="","",$S149*$T149)</f>
        <v/>
      </c>
      <c r="V149" s="49" t="str">
        <f aca="false">IF($P149="","",IF(ISNUMBER($E149),$E149,0)*$R149)</f>
        <v/>
      </c>
      <c r="W149" s="49" t="str">
        <f aca="false">IF($P149="","",IF(ISNUMBER($E149),$E149,0)*$S149)</f>
        <v/>
      </c>
      <c r="X149" s="49" t="str">
        <f aca="false">IF($P149="","",IF(ISNUMBER($E149),$E149,0)*$U149)</f>
        <v/>
      </c>
      <c r="Y149" s="49" t="str">
        <f aca="false">IF($P149="","",IF(AND(CapAtMax="Yes",$P149="Y"),MAX(0,MIN($X149,$K149-$E149)),$X149))</f>
        <v/>
      </c>
      <c r="Z149" s="41" t="str">
        <f aca="false">IF(OR($P149="",NOT(ISNUMBER($E149))),"",$E149+$Y149)</f>
        <v/>
      </c>
      <c r="AA149" s="42" t="str">
        <f aca="false">IF(AND(ISNUMBER(Z149),ISNUMBER(J149)),IF(J149&gt;0,Z149/J149,""),"")</f>
        <v/>
      </c>
      <c r="AB149" s="46" t="str">
        <f aca="false">IF($P149="","",TRIM(IF(AND($P149="Y",ISNUMBER(K149),ISNUMBER(Z149)),IF(Z149&gt;K149,"Above range max. ",""),"")&amp;IF(AND($P149="Y",ISNUMBER($X149),ISNUMBER($Y149)),IF($X149-$Y149&gt;0.005,"Capped at range max. ",""),"")&amp;IF(AND(AND(ISNUMBER($G149),$G149&gt;=0,$G149&lt;=1),$H149=""),"Override needs a reason. ","")&amp;IF(AND(AND(ISNUMBER($G149),$G149&gt;=0,$G149&lt;=1),$P149&lt;&gt;"Y"),"Override ignored. ","")&amp;IF(AND($G149&lt;&gt;"",NOT(AND(ISNUMBER($G149),$G149&gt;=0,$G149&lt;=1))),"Override not valid, ignored. ","")&amp;IF(AND($A149&lt;&gt;"",COUNTIF($A$5:$A$254,$A149)&gt;1),"Duplicate ID. ","")))</f>
        <v/>
      </c>
    </row>
    <row r="150" customFormat="false" ht="15" hidden="false" customHeight="false" outlineLevel="0" collapsed="false">
      <c r="A150" s="18"/>
      <c r="B150" s="38"/>
      <c r="C150" s="39"/>
      <c r="D150" s="38"/>
      <c r="E150" s="19"/>
      <c r="F150" s="38"/>
      <c r="G150" s="40"/>
      <c r="H150" s="18"/>
      <c r="I150" s="41" t="str">
        <f aca="false">IF(COUNTA($A150:$F150)=0,"",IF($B150="","",IFERROR(INDEX(Ranges!$B$5:$B$16,MATCH($B150,Ranges!$A$5:$A$16,0)),"")))</f>
        <v/>
      </c>
      <c r="J150" s="41" t="str">
        <f aca="false">IF(COUNTA($A150:$F150)=0,"",IF($B150="","",IFERROR(INDEX(Ranges!$C$5:$C$16,MATCH($B150,Ranges!$A$5:$A$16,0)),"")))</f>
        <v/>
      </c>
      <c r="K150" s="41" t="str">
        <f aca="false">IF(COUNTA($A150:$F150)=0,"",IF($B150="","",IFERROR(INDEX(Ranges!$D$5:$D$16,MATCH($B150,Ranges!$A$5:$A$16,0)),"")))</f>
        <v/>
      </c>
      <c r="L150" s="42" t="str">
        <f aca="false">IF(OR(NOT(ISNUMBER($E150)),NOT(ISNUMBER(J150))),"",IF(J150&gt;0,$E150/J150,""))</f>
        <v/>
      </c>
      <c r="M150" s="43" t="str">
        <f aca="false">IF(OR(NOT(ISNUMBER($E150)),NOT(ISNUMBER(I150)),NOT(ISNUMBER(K150))),"",IF(K150&gt;I150,($E150-I150)/(K150-I150),""))</f>
        <v/>
      </c>
      <c r="N150" s="42" t="str">
        <f aca="false">IF(Basis="Compa-ratio",L150,M150)</f>
        <v/>
      </c>
      <c r="O150" s="44" t="str">
        <f aca="false">IF(ISNUMBER(N150),IFERROR(MATCH(N150,Matrix!$C$9:$G$9,1),1),"")</f>
        <v/>
      </c>
      <c r="P150" s="45" t="str">
        <f aca="false">IF(COUNTA($A150:$F150)=0,"",IF(Q150="","Y","N"))</f>
        <v/>
      </c>
      <c r="Q150" s="46" t="str">
        <f aca="false">IF(COUNTA($A150:$F150)=0,"",IF($A150="","ID missing",IF(TRIM($F150)="Exclude","Excluded by plan status",IF(AND(TRIM($F150)&lt;&gt;"",TRIM($F150)&lt;&gt;"Include"),"Plan status not valid (use Include or Exclude)",IF(NOT(ISNUMBER($C150)),"Hire date missing or not a date",IF($C150&gt;Cutoff,"Hired after cutoff",IF(NOT(ISNUMBER($E150)),"Salary missing or not a number",IF($E150&lt;=0,"Salary missing or not a number",IF(OR(NOT(ISNUMBER(I150)),NOT(ISNUMBER(J150)),NOT(ISNUMBER(K150))),"Grade not found in Ranges",IF($D150="","Rating missing",IF($D150="NR","Not rated (NR)",IF(NOT(ISNUMBER(MATCH($D150,Matrix!$A$14:$A$18,0))),"Rating not valid (use 1 to 5 or NR)",IF(NOT(ISNUMBER(O150)),"Band not found (check range and limits)","")))))))))))))</f>
        <v/>
      </c>
      <c r="R150" s="47" t="str">
        <f aca="false">IF($P150="Y",INDEX(Matrix!$C$14:$G$18,MATCH($D150,Matrix!$A$14:$A$18,0),$O150),IF($P150="N",0,""))</f>
        <v/>
      </c>
      <c r="S150" s="47" t="str">
        <f aca="false">IF($P150="Y",IF(AND(ISNUMBER($G150),$G150&gt;=0,$G150&lt;=1),$G150,$R150),IF($P150="N",0,""))</f>
        <v/>
      </c>
      <c r="T150" s="48" t="str">
        <f aca="false">IF($P150&lt;&gt;"Y",IF($P150="N",0,""),IF(ProrateMethod="None",1,IF($C150&lt;=PeriodStart,1,IF(ProrateMethod="Daily",MAX(0,MIN(1,(PeriodEnd-$C150+1)/(PeriodEnd-PeriodStart+1))),MAX(0,MIN(1,((YEAR(PeriodEnd)-YEAR($C150))*12+MONTH(PeriodEnd)-MONTH($C150)+1-IF(DAY($C150)&gt;MonthCutDay,1,0))/PeriodMonths))))))</f>
        <v/>
      </c>
      <c r="U150" s="47" t="str">
        <f aca="false">IF($P150="","",$S150*$T150)</f>
        <v/>
      </c>
      <c r="V150" s="49" t="str">
        <f aca="false">IF($P150="","",IF(ISNUMBER($E150),$E150,0)*$R150)</f>
        <v/>
      </c>
      <c r="W150" s="49" t="str">
        <f aca="false">IF($P150="","",IF(ISNUMBER($E150),$E150,0)*$S150)</f>
        <v/>
      </c>
      <c r="X150" s="49" t="str">
        <f aca="false">IF($P150="","",IF(ISNUMBER($E150),$E150,0)*$U150)</f>
        <v/>
      </c>
      <c r="Y150" s="49" t="str">
        <f aca="false">IF($P150="","",IF(AND(CapAtMax="Yes",$P150="Y"),MAX(0,MIN($X150,$K150-$E150)),$X150))</f>
        <v/>
      </c>
      <c r="Z150" s="41" t="str">
        <f aca="false">IF(OR($P150="",NOT(ISNUMBER($E150))),"",$E150+$Y150)</f>
        <v/>
      </c>
      <c r="AA150" s="42" t="str">
        <f aca="false">IF(AND(ISNUMBER(Z150),ISNUMBER(J150)),IF(J150&gt;0,Z150/J150,""),"")</f>
        <v/>
      </c>
      <c r="AB150" s="46" t="str">
        <f aca="false">IF($P150="","",TRIM(IF(AND($P150="Y",ISNUMBER(K150),ISNUMBER(Z150)),IF(Z150&gt;K150,"Above range max. ",""),"")&amp;IF(AND($P150="Y",ISNUMBER($X150),ISNUMBER($Y150)),IF($X150-$Y150&gt;0.005,"Capped at range max. ",""),"")&amp;IF(AND(AND(ISNUMBER($G150),$G150&gt;=0,$G150&lt;=1),$H150=""),"Override needs a reason. ","")&amp;IF(AND(AND(ISNUMBER($G150),$G150&gt;=0,$G150&lt;=1),$P150&lt;&gt;"Y"),"Override ignored. ","")&amp;IF(AND($G150&lt;&gt;"",NOT(AND(ISNUMBER($G150),$G150&gt;=0,$G150&lt;=1))),"Override not valid, ignored. ","")&amp;IF(AND($A150&lt;&gt;"",COUNTIF($A$5:$A$254,$A150)&gt;1),"Duplicate ID. ","")))</f>
        <v/>
      </c>
    </row>
    <row r="151" customFormat="false" ht="15" hidden="false" customHeight="false" outlineLevel="0" collapsed="false">
      <c r="A151" s="18"/>
      <c r="B151" s="38"/>
      <c r="C151" s="39"/>
      <c r="D151" s="38"/>
      <c r="E151" s="19"/>
      <c r="F151" s="38"/>
      <c r="G151" s="40"/>
      <c r="H151" s="18"/>
      <c r="I151" s="41" t="str">
        <f aca="false">IF(COUNTA($A151:$F151)=0,"",IF($B151="","",IFERROR(INDEX(Ranges!$B$5:$B$16,MATCH($B151,Ranges!$A$5:$A$16,0)),"")))</f>
        <v/>
      </c>
      <c r="J151" s="41" t="str">
        <f aca="false">IF(COUNTA($A151:$F151)=0,"",IF($B151="","",IFERROR(INDEX(Ranges!$C$5:$C$16,MATCH($B151,Ranges!$A$5:$A$16,0)),"")))</f>
        <v/>
      </c>
      <c r="K151" s="41" t="str">
        <f aca="false">IF(COUNTA($A151:$F151)=0,"",IF($B151="","",IFERROR(INDEX(Ranges!$D$5:$D$16,MATCH($B151,Ranges!$A$5:$A$16,0)),"")))</f>
        <v/>
      </c>
      <c r="L151" s="42" t="str">
        <f aca="false">IF(OR(NOT(ISNUMBER($E151)),NOT(ISNUMBER(J151))),"",IF(J151&gt;0,$E151/J151,""))</f>
        <v/>
      </c>
      <c r="M151" s="43" t="str">
        <f aca="false">IF(OR(NOT(ISNUMBER($E151)),NOT(ISNUMBER(I151)),NOT(ISNUMBER(K151))),"",IF(K151&gt;I151,($E151-I151)/(K151-I151),""))</f>
        <v/>
      </c>
      <c r="N151" s="42" t="str">
        <f aca="false">IF(Basis="Compa-ratio",L151,M151)</f>
        <v/>
      </c>
      <c r="O151" s="44" t="str">
        <f aca="false">IF(ISNUMBER(N151),IFERROR(MATCH(N151,Matrix!$C$9:$G$9,1),1),"")</f>
        <v/>
      </c>
      <c r="P151" s="45" t="str">
        <f aca="false">IF(COUNTA($A151:$F151)=0,"",IF(Q151="","Y","N"))</f>
        <v/>
      </c>
      <c r="Q151" s="46" t="str">
        <f aca="false">IF(COUNTA($A151:$F151)=0,"",IF($A151="","ID missing",IF(TRIM($F151)="Exclude","Excluded by plan status",IF(AND(TRIM($F151)&lt;&gt;"",TRIM($F151)&lt;&gt;"Include"),"Plan status not valid (use Include or Exclude)",IF(NOT(ISNUMBER($C151)),"Hire date missing or not a date",IF($C151&gt;Cutoff,"Hired after cutoff",IF(NOT(ISNUMBER($E151)),"Salary missing or not a number",IF($E151&lt;=0,"Salary missing or not a number",IF(OR(NOT(ISNUMBER(I151)),NOT(ISNUMBER(J151)),NOT(ISNUMBER(K151))),"Grade not found in Ranges",IF($D151="","Rating missing",IF($D151="NR","Not rated (NR)",IF(NOT(ISNUMBER(MATCH($D151,Matrix!$A$14:$A$18,0))),"Rating not valid (use 1 to 5 or NR)",IF(NOT(ISNUMBER(O151)),"Band not found (check range and limits)","")))))))))))))</f>
        <v/>
      </c>
      <c r="R151" s="47" t="str">
        <f aca="false">IF($P151="Y",INDEX(Matrix!$C$14:$G$18,MATCH($D151,Matrix!$A$14:$A$18,0),$O151),IF($P151="N",0,""))</f>
        <v/>
      </c>
      <c r="S151" s="47" t="str">
        <f aca="false">IF($P151="Y",IF(AND(ISNUMBER($G151),$G151&gt;=0,$G151&lt;=1),$G151,$R151),IF($P151="N",0,""))</f>
        <v/>
      </c>
      <c r="T151" s="48" t="str">
        <f aca="false">IF($P151&lt;&gt;"Y",IF($P151="N",0,""),IF(ProrateMethod="None",1,IF($C151&lt;=PeriodStart,1,IF(ProrateMethod="Daily",MAX(0,MIN(1,(PeriodEnd-$C151+1)/(PeriodEnd-PeriodStart+1))),MAX(0,MIN(1,((YEAR(PeriodEnd)-YEAR($C151))*12+MONTH(PeriodEnd)-MONTH($C151)+1-IF(DAY($C151)&gt;MonthCutDay,1,0))/PeriodMonths))))))</f>
        <v/>
      </c>
      <c r="U151" s="47" t="str">
        <f aca="false">IF($P151="","",$S151*$T151)</f>
        <v/>
      </c>
      <c r="V151" s="49" t="str">
        <f aca="false">IF($P151="","",IF(ISNUMBER($E151),$E151,0)*$R151)</f>
        <v/>
      </c>
      <c r="W151" s="49" t="str">
        <f aca="false">IF($P151="","",IF(ISNUMBER($E151),$E151,0)*$S151)</f>
        <v/>
      </c>
      <c r="X151" s="49" t="str">
        <f aca="false">IF($P151="","",IF(ISNUMBER($E151),$E151,0)*$U151)</f>
        <v/>
      </c>
      <c r="Y151" s="49" t="str">
        <f aca="false">IF($P151="","",IF(AND(CapAtMax="Yes",$P151="Y"),MAX(0,MIN($X151,$K151-$E151)),$X151))</f>
        <v/>
      </c>
      <c r="Z151" s="41" t="str">
        <f aca="false">IF(OR($P151="",NOT(ISNUMBER($E151))),"",$E151+$Y151)</f>
        <v/>
      </c>
      <c r="AA151" s="42" t="str">
        <f aca="false">IF(AND(ISNUMBER(Z151),ISNUMBER(J151)),IF(J151&gt;0,Z151/J151,""),"")</f>
        <v/>
      </c>
      <c r="AB151" s="46" t="str">
        <f aca="false">IF($P151="","",TRIM(IF(AND($P151="Y",ISNUMBER(K151),ISNUMBER(Z151)),IF(Z151&gt;K151,"Above range max. ",""),"")&amp;IF(AND($P151="Y",ISNUMBER($X151),ISNUMBER($Y151)),IF($X151-$Y151&gt;0.005,"Capped at range max. ",""),"")&amp;IF(AND(AND(ISNUMBER($G151),$G151&gt;=0,$G151&lt;=1),$H151=""),"Override needs a reason. ","")&amp;IF(AND(AND(ISNUMBER($G151),$G151&gt;=0,$G151&lt;=1),$P151&lt;&gt;"Y"),"Override ignored. ","")&amp;IF(AND($G151&lt;&gt;"",NOT(AND(ISNUMBER($G151),$G151&gt;=0,$G151&lt;=1))),"Override not valid, ignored. ","")&amp;IF(AND($A151&lt;&gt;"",COUNTIF($A$5:$A$254,$A151)&gt;1),"Duplicate ID. ","")))</f>
        <v/>
      </c>
    </row>
    <row r="152" customFormat="false" ht="15" hidden="false" customHeight="false" outlineLevel="0" collapsed="false">
      <c r="A152" s="18"/>
      <c r="B152" s="38"/>
      <c r="C152" s="39"/>
      <c r="D152" s="38"/>
      <c r="E152" s="19"/>
      <c r="F152" s="38"/>
      <c r="G152" s="40"/>
      <c r="H152" s="18"/>
      <c r="I152" s="41" t="str">
        <f aca="false">IF(COUNTA($A152:$F152)=0,"",IF($B152="","",IFERROR(INDEX(Ranges!$B$5:$B$16,MATCH($B152,Ranges!$A$5:$A$16,0)),"")))</f>
        <v/>
      </c>
      <c r="J152" s="41" t="str">
        <f aca="false">IF(COUNTA($A152:$F152)=0,"",IF($B152="","",IFERROR(INDEX(Ranges!$C$5:$C$16,MATCH($B152,Ranges!$A$5:$A$16,0)),"")))</f>
        <v/>
      </c>
      <c r="K152" s="41" t="str">
        <f aca="false">IF(COUNTA($A152:$F152)=0,"",IF($B152="","",IFERROR(INDEX(Ranges!$D$5:$D$16,MATCH($B152,Ranges!$A$5:$A$16,0)),"")))</f>
        <v/>
      </c>
      <c r="L152" s="42" t="str">
        <f aca="false">IF(OR(NOT(ISNUMBER($E152)),NOT(ISNUMBER(J152))),"",IF(J152&gt;0,$E152/J152,""))</f>
        <v/>
      </c>
      <c r="M152" s="43" t="str">
        <f aca="false">IF(OR(NOT(ISNUMBER($E152)),NOT(ISNUMBER(I152)),NOT(ISNUMBER(K152))),"",IF(K152&gt;I152,($E152-I152)/(K152-I152),""))</f>
        <v/>
      </c>
      <c r="N152" s="42" t="str">
        <f aca="false">IF(Basis="Compa-ratio",L152,M152)</f>
        <v/>
      </c>
      <c r="O152" s="44" t="str">
        <f aca="false">IF(ISNUMBER(N152),IFERROR(MATCH(N152,Matrix!$C$9:$G$9,1),1),"")</f>
        <v/>
      </c>
      <c r="P152" s="45" t="str">
        <f aca="false">IF(COUNTA($A152:$F152)=0,"",IF(Q152="","Y","N"))</f>
        <v/>
      </c>
      <c r="Q152" s="46" t="str">
        <f aca="false">IF(COUNTA($A152:$F152)=0,"",IF($A152="","ID missing",IF(TRIM($F152)="Exclude","Excluded by plan status",IF(AND(TRIM($F152)&lt;&gt;"",TRIM($F152)&lt;&gt;"Include"),"Plan status not valid (use Include or Exclude)",IF(NOT(ISNUMBER($C152)),"Hire date missing or not a date",IF($C152&gt;Cutoff,"Hired after cutoff",IF(NOT(ISNUMBER($E152)),"Salary missing or not a number",IF($E152&lt;=0,"Salary missing or not a number",IF(OR(NOT(ISNUMBER(I152)),NOT(ISNUMBER(J152)),NOT(ISNUMBER(K152))),"Grade not found in Ranges",IF($D152="","Rating missing",IF($D152="NR","Not rated (NR)",IF(NOT(ISNUMBER(MATCH($D152,Matrix!$A$14:$A$18,0))),"Rating not valid (use 1 to 5 or NR)",IF(NOT(ISNUMBER(O152)),"Band not found (check range and limits)","")))))))))))))</f>
        <v/>
      </c>
      <c r="R152" s="47" t="str">
        <f aca="false">IF($P152="Y",INDEX(Matrix!$C$14:$G$18,MATCH($D152,Matrix!$A$14:$A$18,0),$O152),IF($P152="N",0,""))</f>
        <v/>
      </c>
      <c r="S152" s="47" t="str">
        <f aca="false">IF($P152="Y",IF(AND(ISNUMBER($G152),$G152&gt;=0,$G152&lt;=1),$G152,$R152),IF($P152="N",0,""))</f>
        <v/>
      </c>
      <c r="T152" s="48" t="str">
        <f aca="false">IF($P152&lt;&gt;"Y",IF($P152="N",0,""),IF(ProrateMethod="None",1,IF($C152&lt;=PeriodStart,1,IF(ProrateMethod="Daily",MAX(0,MIN(1,(PeriodEnd-$C152+1)/(PeriodEnd-PeriodStart+1))),MAX(0,MIN(1,((YEAR(PeriodEnd)-YEAR($C152))*12+MONTH(PeriodEnd)-MONTH($C152)+1-IF(DAY($C152)&gt;MonthCutDay,1,0))/PeriodMonths))))))</f>
        <v/>
      </c>
      <c r="U152" s="47" t="str">
        <f aca="false">IF($P152="","",$S152*$T152)</f>
        <v/>
      </c>
      <c r="V152" s="49" t="str">
        <f aca="false">IF($P152="","",IF(ISNUMBER($E152),$E152,0)*$R152)</f>
        <v/>
      </c>
      <c r="W152" s="49" t="str">
        <f aca="false">IF($P152="","",IF(ISNUMBER($E152),$E152,0)*$S152)</f>
        <v/>
      </c>
      <c r="X152" s="49" t="str">
        <f aca="false">IF($P152="","",IF(ISNUMBER($E152),$E152,0)*$U152)</f>
        <v/>
      </c>
      <c r="Y152" s="49" t="str">
        <f aca="false">IF($P152="","",IF(AND(CapAtMax="Yes",$P152="Y"),MAX(0,MIN($X152,$K152-$E152)),$X152))</f>
        <v/>
      </c>
      <c r="Z152" s="41" t="str">
        <f aca="false">IF(OR($P152="",NOT(ISNUMBER($E152))),"",$E152+$Y152)</f>
        <v/>
      </c>
      <c r="AA152" s="42" t="str">
        <f aca="false">IF(AND(ISNUMBER(Z152),ISNUMBER(J152)),IF(J152&gt;0,Z152/J152,""),"")</f>
        <v/>
      </c>
      <c r="AB152" s="46" t="str">
        <f aca="false">IF($P152="","",TRIM(IF(AND($P152="Y",ISNUMBER(K152),ISNUMBER(Z152)),IF(Z152&gt;K152,"Above range max. ",""),"")&amp;IF(AND($P152="Y",ISNUMBER($X152),ISNUMBER($Y152)),IF($X152-$Y152&gt;0.005,"Capped at range max. ",""),"")&amp;IF(AND(AND(ISNUMBER($G152),$G152&gt;=0,$G152&lt;=1),$H152=""),"Override needs a reason. ","")&amp;IF(AND(AND(ISNUMBER($G152),$G152&gt;=0,$G152&lt;=1),$P152&lt;&gt;"Y"),"Override ignored. ","")&amp;IF(AND($G152&lt;&gt;"",NOT(AND(ISNUMBER($G152),$G152&gt;=0,$G152&lt;=1))),"Override not valid, ignored. ","")&amp;IF(AND($A152&lt;&gt;"",COUNTIF($A$5:$A$254,$A152)&gt;1),"Duplicate ID. ","")))</f>
        <v/>
      </c>
    </row>
    <row r="153" customFormat="false" ht="15" hidden="false" customHeight="false" outlineLevel="0" collapsed="false">
      <c r="A153" s="18"/>
      <c r="B153" s="38"/>
      <c r="C153" s="39"/>
      <c r="D153" s="38"/>
      <c r="E153" s="19"/>
      <c r="F153" s="38"/>
      <c r="G153" s="40"/>
      <c r="H153" s="18"/>
      <c r="I153" s="41" t="str">
        <f aca="false">IF(COUNTA($A153:$F153)=0,"",IF($B153="","",IFERROR(INDEX(Ranges!$B$5:$B$16,MATCH($B153,Ranges!$A$5:$A$16,0)),"")))</f>
        <v/>
      </c>
      <c r="J153" s="41" t="str">
        <f aca="false">IF(COUNTA($A153:$F153)=0,"",IF($B153="","",IFERROR(INDEX(Ranges!$C$5:$C$16,MATCH($B153,Ranges!$A$5:$A$16,0)),"")))</f>
        <v/>
      </c>
      <c r="K153" s="41" t="str">
        <f aca="false">IF(COUNTA($A153:$F153)=0,"",IF($B153="","",IFERROR(INDEX(Ranges!$D$5:$D$16,MATCH($B153,Ranges!$A$5:$A$16,0)),"")))</f>
        <v/>
      </c>
      <c r="L153" s="42" t="str">
        <f aca="false">IF(OR(NOT(ISNUMBER($E153)),NOT(ISNUMBER(J153))),"",IF(J153&gt;0,$E153/J153,""))</f>
        <v/>
      </c>
      <c r="M153" s="43" t="str">
        <f aca="false">IF(OR(NOT(ISNUMBER($E153)),NOT(ISNUMBER(I153)),NOT(ISNUMBER(K153))),"",IF(K153&gt;I153,($E153-I153)/(K153-I153),""))</f>
        <v/>
      </c>
      <c r="N153" s="42" t="str">
        <f aca="false">IF(Basis="Compa-ratio",L153,M153)</f>
        <v/>
      </c>
      <c r="O153" s="44" t="str">
        <f aca="false">IF(ISNUMBER(N153),IFERROR(MATCH(N153,Matrix!$C$9:$G$9,1),1),"")</f>
        <v/>
      </c>
      <c r="P153" s="45" t="str">
        <f aca="false">IF(COUNTA($A153:$F153)=0,"",IF(Q153="","Y","N"))</f>
        <v/>
      </c>
      <c r="Q153" s="46" t="str">
        <f aca="false">IF(COUNTA($A153:$F153)=0,"",IF($A153="","ID missing",IF(TRIM($F153)="Exclude","Excluded by plan status",IF(AND(TRIM($F153)&lt;&gt;"",TRIM($F153)&lt;&gt;"Include"),"Plan status not valid (use Include or Exclude)",IF(NOT(ISNUMBER($C153)),"Hire date missing or not a date",IF($C153&gt;Cutoff,"Hired after cutoff",IF(NOT(ISNUMBER($E153)),"Salary missing or not a number",IF($E153&lt;=0,"Salary missing or not a number",IF(OR(NOT(ISNUMBER(I153)),NOT(ISNUMBER(J153)),NOT(ISNUMBER(K153))),"Grade not found in Ranges",IF($D153="","Rating missing",IF($D153="NR","Not rated (NR)",IF(NOT(ISNUMBER(MATCH($D153,Matrix!$A$14:$A$18,0))),"Rating not valid (use 1 to 5 or NR)",IF(NOT(ISNUMBER(O153)),"Band not found (check range and limits)","")))))))))))))</f>
        <v/>
      </c>
      <c r="R153" s="47" t="str">
        <f aca="false">IF($P153="Y",INDEX(Matrix!$C$14:$G$18,MATCH($D153,Matrix!$A$14:$A$18,0),$O153),IF($P153="N",0,""))</f>
        <v/>
      </c>
      <c r="S153" s="47" t="str">
        <f aca="false">IF($P153="Y",IF(AND(ISNUMBER($G153),$G153&gt;=0,$G153&lt;=1),$G153,$R153),IF($P153="N",0,""))</f>
        <v/>
      </c>
      <c r="T153" s="48" t="str">
        <f aca="false">IF($P153&lt;&gt;"Y",IF($P153="N",0,""),IF(ProrateMethod="None",1,IF($C153&lt;=PeriodStart,1,IF(ProrateMethod="Daily",MAX(0,MIN(1,(PeriodEnd-$C153+1)/(PeriodEnd-PeriodStart+1))),MAX(0,MIN(1,((YEAR(PeriodEnd)-YEAR($C153))*12+MONTH(PeriodEnd)-MONTH($C153)+1-IF(DAY($C153)&gt;MonthCutDay,1,0))/PeriodMonths))))))</f>
        <v/>
      </c>
      <c r="U153" s="47" t="str">
        <f aca="false">IF($P153="","",$S153*$T153)</f>
        <v/>
      </c>
      <c r="V153" s="49" t="str">
        <f aca="false">IF($P153="","",IF(ISNUMBER($E153),$E153,0)*$R153)</f>
        <v/>
      </c>
      <c r="W153" s="49" t="str">
        <f aca="false">IF($P153="","",IF(ISNUMBER($E153),$E153,0)*$S153)</f>
        <v/>
      </c>
      <c r="X153" s="49" t="str">
        <f aca="false">IF($P153="","",IF(ISNUMBER($E153),$E153,0)*$U153)</f>
        <v/>
      </c>
      <c r="Y153" s="49" t="str">
        <f aca="false">IF($P153="","",IF(AND(CapAtMax="Yes",$P153="Y"),MAX(0,MIN($X153,$K153-$E153)),$X153))</f>
        <v/>
      </c>
      <c r="Z153" s="41" t="str">
        <f aca="false">IF(OR($P153="",NOT(ISNUMBER($E153))),"",$E153+$Y153)</f>
        <v/>
      </c>
      <c r="AA153" s="42" t="str">
        <f aca="false">IF(AND(ISNUMBER(Z153),ISNUMBER(J153)),IF(J153&gt;0,Z153/J153,""),"")</f>
        <v/>
      </c>
      <c r="AB153" s="46" t="str">
        <f aca="false">IF($P153="","",TRIM(IF(AND($P153="Y",ISNUMBER(K153),ISNUMBER(Z153)),IF(Z153&gt;K153,"Above range max. ",""),"")&amp;IF(AND($P153="Y",ISNUMBER($X153),ISNUMBER($Y153)),IF($X153-$Y153&gt;0.005,"Capped at range max. ",""),"")&amp;IF(AND(AND(ISNUMBER($G153),$G153&gt;=0,$G153&lt;=1),$H153=""),"Override needs a reason. ","")&amp;IF(AND(AND(ISNUMBER($G153),$G153&gt;=0,$G153&lt;=1),$P153&lt;&gt;"Y"),"Override ignored. ","")&amp;IF(AND($G153&lt;&gt;"",NOT(AND(ISNUMBER($G153),$G153&gt;=0,$G153&lt;=1))),"Override not valid, ignored. ","")&amp;IF(AND($A153&lt;&gt;"",COUNTIF($A$5:$A$254,$A153)&gt;1),"Duplicate ID. ","")))</f>
        <v/>
      </c>
    </row>
    <row r="154" customFormat="false" ht="15" hidden="false" customHeight="false" outlineLevel="0" collapsed="false">
      <c r="A154" s="18"/>
      <c r="B154" s="38"/>
      <c r="C154" s="39"/>
      <c r="D154" s="38"/>
      <c r="E154" s="19"/>
      <c r="F154" s="38"/>
      <c r="G154" s="40"/>
      <c r="H154" s="18"/>
      <c r="I154" s="41" t="str">
        <f aca="false">IF(COUNTA($A154:$F154)=0,"",IF($B154="","",IFERROR(INDEX(Ranges!$B$5:$B$16,MATCH($B154,Ranges!$A$5:$A$16,0)),"")))</f>
        <v/>
      </c>
      <c r="J154" s="41" t="str">
        <f aca="false">IF(COUNTA($A154:$F154)=0,"",IF($B154="","",IFERROR(INDEX(Ranges!$C$5:$C$16,MATCH($B154,Ranges!$A$5:$A$16,0)),"")))</f>
        <v/>
      </c>
      <c r="K154" s="41" t="str">
        <f aca="false">IF(COUNTA($A154:$F154)=0,"",IF($B154="","",IFERROR(INDEX(Ranges!$D$5:$D$16,MATCH($B154,Ranges!$A$5:$A$16,0)),"")))</f>
        <v/>
      </c>
      <c r="L154" s="42" t="str">
        <f aca="false">IF(OR(NOT(ISNUMBER($E154)),NOT(ISNUMBER(J154))),"",IF(J154&gt;0,$E154/J154,""))</f>
        <v/>
      </c>
      <c r="M154" s="43" t="str">
        <f aca="false">IF(OR(NOT(ISNUMBER($E154)),NOT(ISNUMBER(I154)),NOT(ISNUMBER(K154))),"",IF(K154&gt;I154,($E154-I154)/(K154-I154),""))</f>
        <v/>
      </c>
      <c r="N154" s="42" t="str">
        <f aca="false">IF(Basis="Compa-ratio",L154,M154)</f>
        <v/>
      </c>
      <c r="O154" s="44" t="str">
        <f aca="false">IF(ISNUMBER(N154),IFERROR(MATCH(N154,Matrix!$C$9:$G$9,1),1),"")</f>
        <v/>
      </c>
      <c r="P154" s="45" t="str">
        <f aca="false">IF(COUNTA($A154:$F154)=0,"",IF(Q154="","Y","N"))</f>
        <v/>
      </c>
      <c r="Q154" s="46" t="str">
        <f aca="false">IF(COUNTA($A154:$F154)=0,"",IF($A154="","ID missing",IF(TRIM($F154)="Exclude","Excluded by plan status",IF(AND(TRIM($F154)&lt;&gt;"",TRIM($F154)&lt;&gt;"Include"),"Plan status not valid (use Include or Exclude)",IF(NOT(ISNUMBER($C154)),"Hire date missing or not a date",IF($C154&gt;Cutoff,"Hired after cutoff",IF(NOT(ISNUMBER($E154)),"Salary missing or not a number",IF($E154&lt;=0,"Salary missing or not a number",IF(OR(NOT(ISNUMBER(I154)),NOT(ISNUMBER(J154)),NOT(ISNUMBER(K154))),"Grade not found in Ranges",IF($D154="","Rating missing",IF($D154="NR","Not rated (NR)",IF(NOT(ISNUMBER(MATCH($D154,Matrix!$A$14:$A$18,0))),"Rating not valid (use 1 to 5 or NR)",IF(NOT(ISNUMBER(O154)),"Band not found (check range and limits)","")))))))))))))</f>
        <v/>
      </c>
      <c r="R154" s="47" t="str">
        <f aca="false">IF($P154="Y",INDEX(Matrix!$C$14:$G$18,MATCH($D154,Matrix!$A$14:$A$18,0),$O154),IF($P154="N",0,""))</f>
        <v/>
      </c>
      <c r="S154" s="47" t="str">
        <f aca="false">IF($P154="Y",IF(AND(ISNUMBER($G154),$G154&gt;=0,$G154&lt;=1),$G154,$R154),IF($P154="N",0,""))</f>
        <v/>
      </c>
      <c r="T154" s="48" t="str">
        <f aca="false">IF($P154&lt;&gt;"Y",IF($P154="N",0,""),IF(ProrateMethod="None",1,IF($C154&lt;=PeriodStart,1,IF(ProrateMethod="Daily",MAX(0,MIN(1,(PeriodEnd-$C154+1)/(PeriodEnd-PeriodStart+1))),MAX(0,MIN(1,((YEAR(PeriodEnd)-YEAR($C154))*12+MONTH(PeriodEnd)-MONTH($C154)+1-IF(DAY($C154)&gt;MonthCutDay,1,0))/PeriodMonths))))))</f>
        <v/>
      </c>
      <c r="U154" s="47" t="str">
        <f aca="false">IF($P154="","",$S154*$T154)</f>
        <v/>
      </c>
      <c r="V154" s="49" t="str">
        <f aca="false">IF($P154="","",IF(ISNUMBER($E154),$E154,0)*$R154)</f>
        <v/>
      </c>
      <c r="W154" s="49" t="str">
        <f aca="false">IF($P154="","",IF(ISNUMBER($E154),$E154,0)*$S154)</f>
        <v/>
      </c>
      <c r="X154" s="49" t="str">
        <f aca="false">IF($P154="","",IF(ISNUMBER($E154),$E154,0)*$U154)</f>
        <v/>
      </c>
      <c r="Y154" s="49" t="str">
        <f aca="false">IF($P154="","",IF(AND(CapAtMax="Yes",$P154="Y"),MAX(0,MIN($X154,$K154-$E154)),$X154))</f>
        <v/>
      </c>
      <c r="Z154" s="41" t="str">
        <f aca="false">IF(OR($P154="",NOT(ISNUMBER($E154))),"",$E154+$Y154)</f>
        <v/>
      </c>
      <c r="AA154" s="42" t="str">
        <f aca="false">IF(AND(ISNUMBER(Z154),ISNUMBER(J154)),IF(J154&gt;0,Z154/J154,""),"")</f>
        <v/>
      </c>
      <c r="AB154" s="46" t="str">
        <f aca="false">IF($P154="","",TRIM(IF(AND($P154="Y",ISNUMBER(K154),ISNUMBER(Z154)),IF(Z154&gt;K154,"Above range max. ",""),"")&amp;IF(AND($P154="Y",ISNUMBER($X154),ISNUMBER($Y154)),IF($X154-$Y154&gt;0.005,"Capped at range max. ",""),"")&amp;IF(AND(AND(ISNUMBER($G154),$G154&gt;=0,$G154&lt;=1),$H154=""),"Override needs a reason. ","")&amp;IF(AND(AND(ISNUMBER($G154),$G154&gt;=0,$G154&lt;=1),$P154&lt;&gt;"Y"),"Override ignored. ","")&amp;IF(AND($G154&lt;&gt;"",NOT(AND(ISNUMBER($G154),$G154&gt;=0,$G154&lt;=1))),"Override not valid, ignored. ","")&amp;IF(AND($A154&lt;&gt;"",COUNTIF($A$5:$A$254,$A154)&gt;1),"Duplicate ID. ","")))</f>
        <v/>
      </c>
    </row>
    <row r="155" customFormat="false" ht="15" hidden="false" customHeight="false" outlineLevel="0" collapsed="false">
      <c r="A155" s="18"/>
      <c r="B155" s="38"/>
      <c r="C155" s="39"/>
      <c r="D155" s="38"/>
      <c r="E155" s="19"/>
      <c r="F155" s="38"/>
      <c r="G155" s="40"/>
      <c r="H155" s="18"/>
      <c r="I155" s="41" t="str">
        <f aca="false">IF(COUNTA($A155:$F155)=0,"",IF($B155="","",IFERROR(INDEX(Ranges!$B$5:$B$16,MATCH($B155,Ranges!$A$5:$A$16,0)),"")))</f>
        <v/>
      </c>
      <c r="J155" s="41" t="str">
        <f aca="false">IF(COUNTA($A155:$F155)=0,"",IF($B155="","",IFERROR(INDEX(Ranges!$C$5:$C$16,MATCH($B155,Ranges!$A$5:$A$16,0)),"")))</f>
        <v/>
      </c>
      <c r="K155" s="41" t="str">
        <f aca="false">IF(COUNTA($A155:$F155)=0,"",IF($B155="","",IFERROR(INDEX(Ranges!$D$5:$D$16,MATCH($B155,Ranges!$A$5:$A$16,0)),"")))</f>
        <v/>
      </c>
      <c r="L155" s="42" t="str">
        <f aca="false">IF(OR(NOT(ISNUMBER($E155)),NOT(ISNUMBER(J155))),"",IF(J155&gt;0,$E155/J155,""))</f>
        <v/>
      </c>
      <c r="M155" s="43" t="str">
        <f aca="false">IF(OR(NOT(ISNUMBER($E155)),NOT(ISNUMBER(I155)),NOT(ISNUMBER(K155))),"",IF(K155&gt;I155,($E155-I155)/(K155-I155),""))</f>
        <v/>
      </c>
      <c r="N155" s="42" t="str">
        <f aca="false">IF(Basis="Compa-ratio",L155,M155)</f>
        <v/>
      </c>
      <c r="O155" s="44" t="str">
        <f aca="false">IF(ISNUMBER(N155),IFERROR(MATCH(N155,Matrix!$C$9:$G$9,1),1),"")</f>
        <v/>
      </c>
      <c r="P155" s="45" t="str">
        <f aca="false">IF(COUNTA($A155:$F155)=0,"",IF(Q155="","Y","N"))</f>
        <v/>
      </c>
      <c r="Q155" s="46" t="str">
        <f aca="false">IF(COUNTA($A155:$F155)=0,"",IF($A155="","ID missing",IF(TRIM($F155)="Exclude","Excluded by plan status",IF(AND(TRIM($F155)&lt;&gt;"",TRIM($F155)&lt;&gt;"Include"),"Plan status not valid (use Include or Exclude)",IF(NOT(ISNUMBER($C155)),"Hire date missing or not a date",IF($C155&gt;Cutoff,"Hired after cutoff",IF(NOT(ISNUMBER($E155)),"Salary missing or not a number",IF($E155&lt;=0,"Salary missing or not a number",IF(OR(NOT(ISNUMBER(I155)),NOT(ISNUMBER(J155)),NOT(ISNUMBER(K155))),"Grade not found in Ranges",IF($D155="","Rating missing",IF($D155="NR","Not rated (NR)",IF(NOT(ISNUMBER(MATCH($D155,Matrix!$A$14:$A$18,0))),"Rating not valid (use 1 to 5 or NR)",IF(NOT(ISNUMBER(O155)),"Band not found (check range and limits)","")))))))))))))</f>
        <v/>
      </c>
      <c r="R155" s="47" t="str">
        <f aca="false">IF($P155="Y",INDEX(Matrix!$C$14:$G$18,MATCH($D155,Matrix!$A$14:$A$18,0),$O155),IF($P155="N",0,""))</f>
        <v/>
      </c>
      <c r="S155" s="47" t="str">
        <f aca="false">IF($P155="Y",IF(AND(ISNUMBER($G155),$G155&gt;=0,$G155&lt;=1),$G155,$R155),IF($P155="N",0,""))</f>
        <v/>
      </c>
      <c r="T155" s="48" t="str">
        <f aca="false">IF($P155&lt;&gt;"Y",IF($P155="N",0,""),IF(ProrateMethod="None",1,IF($C155&lt;=PeriodStart,1,IF(ProrateMethod="Daily",MAX(0,MIN(1,(PeriodEnd-$C155+1)/(PeriodEnd-PeriodStart+1))),MAX(0,MIN(1,((YEAR(PeriodEnd)-YEAR($C155))*12+MONTH(PeriodEnd)-MONTH($C155)+1-IF(DAY($C155)&gt;MonthCutDay,1,0))/PeriodMonths))))))</f>
        <v/>
      </c>
      <c r="U155" s="47" t="str">
        <f aca="false">IF($P155="","",$S155*$T155)</f>
        <v/>
      </c>
      <c r="V155" s="49" t="str">
        <f aca="false">IF($P155="","",IF(ISNUMBER($E155),$E155,0)*$R155)</f>
        <v/>
      </c>
      <c r="W155" s="49" t="str">
        <f aca="false">IF($P155="","",IF(ISNUMBER($E155),$E155,0)*$S155)</f>
        <v/>
      </c>
      <c r="X155" s="49" t="str">
        <f aca="false">IF($P155="","",IF(ISNUMBER($E155),$E155,0)*$U155)</f>
        <v/>
      </c>
      <c r="Y155" s="49" t="str">
        <f aca="false">IF($P155="","",IF(AND(CapAtMax="Yes",$P155="Y"),MAX(0,MIN($X155,$K155-$E155)),$X155))</f>
        <v/>
      </c>
      <c r="Z155" s="41" t="str">
        <f aca="false">IF(OR($P155="",NOT(ISNUMBER($E155))),"",$E155+$Y155)</f>
        <v/>
      </c>
      <c r="AA155" s="42" t="str">
        <f aca="false">IF(AND(ISNUMBER(Z155),ISNUMBER(J155)),IF(J155&gt;0,Z155/J155,""),"")</f>
        <v/>
      </c>
      <c r="AB155" s="46" t="str">
        <f aca="false">IF($P155="","",TRIM(IF(AND($P155="Y",ISNUMBER(K155),ISNUMBER(Z155)),IF(Z155&gt;K155,"Above range max. ",""),"")&amp;IF(AND($P155="Y",ISNUMBER($X155),ISNUMBER($Y155)),IF($X155-$Y155&gt;0.005,"Capped at range max. ",""),"")&amp;IF(AND(AND(ISNUMBER($G155),$G155&gt;=0,$G155&lt;=1),$H155=""),"Override needs a reason. ","")&amp;IF(AND(AND(ISNUMBER($G155),$G155&gt;=0,$G155&lt;=1),$P155&lt;&gt;"Y"),"Override ignored. ","")&amp;IF(AND($G155&lt;&gt;"",NOT(AND(ISNUMBER($G155),$G155&gt;=0,$G155&lt;=1))),"Override not valid, ignored. ","")&amp;IF(AND($A155&lt;&gt;"",COUNTIF($A$5:$A$254,$A155)&gt;1),"Duplicate ID. ","")))</f>
        <v/>
      </c>
    </row>
    <row r="156" customFormat="false" ht="15" hidden="false" customHeight="false" outlineLevel="0" collapsed="false">
      <c r="A156" s="18"/>
      <c r="B156" s="38"/>
      <c r="C156" s="39"/>
      <c r="D156" s="38"/>
      <c r="E156" s="19"/>
      <c r="F156" s="38"/>
      <c r="G156" s="40"/>
      <c r="H156" s="18"/>
      <c r="I156" s="41" t="str">
        <f aca="false">IF(COUNTA($A156:$F156)=0,"",IF($B156="","",IFERROR(INDEX(Ranges!$B$5:$B$16,MATCH($B156,Ranges!$A$5:$A$16,0)),"")))</f>
        <v/>
      </c>
      <c r="J156" s="41" t="str">
        <f aca="false">IF(COUNTA($A156:$F156)=0,"",IF($B156="","",IFERROR(INDEX(Ranges!$C$5:$C$16,MATCH($B156,Ranges!$A$5:$A$16,0)),"")))</f>
        <v/>
      </c>
      <c r="K156" s="41" t="str">
        <f aca="false">IF(COUNTA($A156:$F156)=0,"",IF($B156="","",IFERROR(INDEX(Ranges!$D$5:$D$16,MATCH($B156,Ranges!$A$5:$A$16,0)),"")))</f>
        <v/>
      </c>
      <c r="L156" s="42" t="str">
        <f aca="false">IF(OR(NOT(ISNUMBER($E156)),NOT(ISNUMBER(J156))),"",IF(J156&gt;0,$E156/J156,""))</f>
        <v/>
      </c>
      <c r="M156" s="43" t="str">
        <f aca="false">IF(OR(NOT(ISNUMBER($E156)),NOT(ISNUMBER(I156)),NOT(ISNUMBER(K156))),"",IF(K156&gt;I156,($E156-I156)/(K156-I156),""))</f>
        <v/>
      </c>
      <c r="N156" s="42" t="str">
        <f aca="false">IF(Basis="Compa-ratio",L156,M156)</f>
        <v/>
      </c>
      <c r="O156" s="44" t="str">
        <f aca="false">IF(ISNUMBER(N156),IFERROR(MATCH(N156,Matrix!$C$9:$G$9,1),1),"")</f>
        <v/>
      </c>
      <c r="P156" s="45" t="str">
        <f aca="false">IF(COUNTA($A156:$F156)=0,"",IF(Q156="","Y","N"))</f>
        <v/>
      </c>
      <c r="Q156" s="46" t="str">
        <f aca="false">IF(COUNTA($A156:$F156)=0,"",IF($A156="","ID missing",IF(TRIM($F156)="Exclude","Excluded by plan status",IF(AND(TRIM($F156)&lt;&gt;"",TRIM($F156)&lt;&gt;"Include"),"Plan status not valid (use Include or Exclude)",IF(NOT(ISNUMBER($C156)),"Hire date missing or not a date",IF($C156&gt;Cutoff,"Hired after cutoff",IF(NOT(ISNUMBER($E156)),"Salary missing or not a number",IF($E156&lt;=0,"Salary missing or not a number",IF(OR(NOT(ISNUMBER(I156)),NOT(ISNUMBER(J156)),NOT(ISNUMBER(K156))),"Grade not found in Ranges",IF($D156="","Rating missing",IF($D156="NR","Not rated (NR)",IF(NOT(ISNUMBER(MATCH($D156,Matrix!$A$14:$A$18,0))),"Rating not valid (use 1 to 5 or NR)",IF(NOT(ISNUMBER(O156)),"Band not found (check range and limits)","")))))))))))))</f>
        <v/>
      </c>
      <c r="R156" s="47" t="str">
        <f aca="false">IF($P156="Y",INDEX(Matrix!$C$14:$G$18,MATCH($D156,Matrix!$A$14:$A$18,0),$O156),IF($P156="N",0,""))</f>
        <v/>
      </c>
      <c r="S156" s="47" t="str">
        <f aca="false">IF($P156="Y",IF(AND(ISNUMBER($G156),$G156&gt;=0,$G156&lt;=1),$G156,$R156),IF($P156="N",0,""))</f>
        <v/>
      </c>
      <c r="T156" s="48" t="str">
        <f aca="false">IF($P156&lt;&gt;"Y",IF($P156="N",0,""),IF(ProrateMethod="None",1,IF($C156&lt;=PeriodStart,1,IF(ProrateMethod="Daily",MAX(0,MIN(1,(PeriodEnd-$C156+1)/(PeriodEnd-PeriodStart+1))),MAX(0,MIN(1,((YEAR(PeriodEnd)-YEAR($C156))*12+MONTH(PeriodEnd)-MONTH($C156)+1-IF(DAY($C156)&gt;MonthCutDay,1,0))/PeriodMonths))))))</f>
        <v/>
      </c>
      <c r="U156" s="47" t="str">
        <f aca="false">IF($P156="","",$S156*$T156)</f>
        <v/>
      </c>
      <c r="V156" s="49" t="str">
        <f aca="false">IF($P156="","",IF(ISNUMBER($E156),$E156,0)*$R156)</f>
        <v/>
      </c>
      <c r="W156" s="49" t="str">
        <f aca="false">IF($P156="","",IF(ISNUMBER($E156),$E156,0)*$S156)</f>
        <v/>
      </c>
      <c r="X156" s="49" t="str">
        <f aca="false">IF($P156="","",IF(ISNUMBER($E156),$E156,0)*$U156)</f>
        <v/>
      </c>
      <c r="Y156" s="49" t="str">
        <f aca="false">IF($P156="","",IF(AND(CapAtMax="Yes",$P156="Y"),MAX(0,MIN($X156,$K156-$E156)),$X156))</f>
        <v/>
      </c>
      <c r="Z156" s="41" t="str">
        <f aca="false">IF(OR($P156="",NOT(ISNUMBER($E156))),"",$E156+$Y156)</f>
        <v/>
      </c>
      <c r="AA156" s="42" t="str">
        <f aca="false">IF(AND(ISNUMBER(Z156),ISNUMBER(J156)),IF(J156&gt;0,Z156/J156,""),"")</f>
        <v/>
      </c>
      <c r="AB156" s="46" t="str">
        <f aca="false">IF($P156="","",TRIM(IF(AND($P156="Y",ISNUMBER(K156),ISNUMBER(Z156)),IF(Z156&gt;K156,"Above range max. ",""),"")&amp;IF(AND($P156="Y",ISNUMBER($X156),ISNUMBER($Y156)),IF($X156-$Y156&gt;0.005,"Capped at range max. ",""),"")&amp;IF(AND(AND(ISNUMBER($G156),$G156&gt;=0,$G156&lt;=1),$H156=""),"Override needs a reason. ","")&amp;IF(AND(AND(ISNUMBER($G156),$G156&gt;=0,$G156&lt;=1),$P156&lt;&gt;"Y"),"Override ignored. ","")&amp;IF(AND($G156&lt;&gt;"",NOT(AND(ISNUMBER($G156),$G156&gt;=0,$G156&lt;=1))),"Override not valid, ignored. ","")&amp;IF(AND($A156&lt;&gt;"",COUNTIF($A$5:$A$254,$A156)&gt;1),"Duplicate ID. ","")))</f>
        <v/>
      </c>
    </row>
    <row r="157" customFormat="false" ht="15" hidden="false" customHeight="false" outlineLevel="0" collapsed="false">
      <c r="A157" s="18"/>
      <c r="B157" s="38"/>
      <c r="C157" s="39"/>
      <c r="D157" s="38"/>
      <c r="E157" s="19"/>
      <c r="F157" s="38"/>
      <c r="G157" s="40"/>
      <c r="H157" s="18"/>
      <c r="I157" s="41" t="str">
        <f aca="false">IF(COUNTA($A157:$F157)=0,"",IF($B157="","",IFERROR(INDEX(Ranges!$B$5:$B$16,MATCH($B157,Ranges!$A$5:$A$16,0)),"")))</f>
        <v/>
      </c>
      <c r="J157" s="41" t="str">
        <f aca="false">IF(COUNTA($A157:$F157)=0,"",IF($B157="","",IFERROR(INDEX(Ranges!$C$5:$C$16,MATCH($B157,Ranges!$A$5:$A$16,0)),"")))</f>
        <v/>
      </c>
      <c r="K157" s="41" t="str">
        <f aca="false">IF(COUNTA($A157:$F157)=0,"",IF($B157="","",IFERROR(INDEX(Ranges!$D$5:$D$16,MATCH($B157,Ranges!$A$5:$A$16,0)),"")))</f>
        <v/>
      </c>
      <c r="L157" s="42" t="str">
        <f aca="false">IF(OR(NOT(ISNUMBER($E157)),NOT(ISNUMBER(J157))),"",IF(J157&gt;0,$E157/J157,""))</f>
        <v/>
      </c>
      <c r="M157" s="43" t="str">
        <f aca="false">IF(OR(NOT(ISNUMBER($E157)),NOT(ISNUMBER(I157)),NOT(ISNUMBER(K157))),"",IF(K157&gt;I157,($E157-I157)/(K157-I157),""))</f>
        <v/>
      </c>
      <c r="N157" s="42" t="str">
        <f aca="false">IF(Basis="Compa-ratio",L157,M157)</f>
        <v/>
      </c>
      <c r="O157" s="44" t="str">
        <f aca="false">IF(ISNUMBER(N157),IFERROR(MATCH(N157,Matrix!$C$9:$G$9,1),1),"")</f>
        <v/>
      </c>
      <c r="P157" s="45" t="str">
        <f aca="false">IF(COUNTA($A157:$F157)=0,"",IF(Q157="","Y","N"))</f>
        <v/>
      </c>
      <c r="Q157" s="46" t="str">
        <f aca="false">IF(COUNTA($A157:$F157)=0,"",IF($A157="","ID missing",IF(TRIM($F157)="Exclude","Excluded by plan status",IF(AND(TRIM($F157)&lt;&gt;"",TRIM($F157)&lt;&gt;"Include"),"Plan status not valid (use Include or Exclude)",IF(NOT(ISNUMBER($C157)),"Hire date missing or not a date",IF($C157&gt;Cutoff,"Hired after cutoff",IF(NOT(ISNUMBER($E157)),"Salary missing or not a number",IF($E157&lt;=0,"Salary missing or not a number",IF(OR(NOT(ISNUMBER(I157)),NOT(ISNUMBER(J157)),NOT(ISNUMBER(K157))),"Grade not found in Ranges",IF($D157="","Rating missing",IF($D157="NR","Not rated (NR)",IF(NOT(ISNUMBER(MATCH($D157,Matrix!$A$14:$A$18,0))),"Rating not valid (use 1 to 5 or NR)",IF(NOT(ISNUMBER(O157)),"Band not found (check range and limits)","")))))))))))))</f>
        <v/>
      </c>
      <c r="R157" s="47" t="str">
        <f aca="false">IF($P157="Y",INDEX(Matrix!$C$14:$G$18,MATCH($D157,Matrix!$A$14:$A$18,0),$O157),IF($P157="N",0,""))</f>
        <v/>
      </c>
      <c r="S157" s="47" t="str">
        <f aca="false">IF($P157="Y",IF(AND(ISNUMBER($G157),$G157&gt;=0,$G157&lt;=1),$G157,$R157),IF($P157="N",0,""))</f>
        <v/>
      </c>
      <c r="T157" s="48" t="str">
        <f aca="false">IF($P157&lt;&gt;"Y",IF($P157="N",0,""),IF(ProrateMethod="None",1,IF($C157&lt;=PeriodStart,1,IF(ProrateMethod="Daily",MAX(0,MIN(1,(PeriodEnd-$C157+1)/(PeriodEnd-PeriodStart+1))),MAX(0,MIN(1,((YEAR(PeriodEnd)-YEAR($C157))*12+MONTH(PeriodEnd)-MONTH($C157)+1-IF(DAY($C157)&gt;MonthCutDay,1,0))/PeriodMonths))))))</f>
        <v/>
      </c>
      <c r="U157" s="47" t="str">
        <f aca="false">IF($P157="","",$S157*$T157)</f>
        <v/>
      </c>
      <c r="V157" s="49" t="str">
        <f aca="false">IF($P157="","",IF(ISNUMBER($E157),$E157,0)*$R157)</f>
        <v/>
      </c>
      <c r="W157" s="49" t="str">
        <f aca="false">IF($P157="","",IF(ISNUMBER($E157),$E157,0)*$S157)</f>
        <v/>
      </c>
      <c r="X157" s="49" t="str">
        <f aca="false">IF($P157="","",IF(ISNUMBER($E157),$E157,0)*$U157)</f>
        <v/>
      </c>
      <c r="Y157" s="49" t="str">
        <f aca="false">IF($P157="","",IF(AND(CapAtMax="Yes",$P157="Y"),MAX(0,MIN($X157,$K157-$E157)),$X157))</f>
        <v/>
      </c>
      <c r="Z157" s="41" t="str">
        <f aca="false">IF(OR($P157="",NOT(ISNUMBER($E157))),"",$E157+$Y157)</f>
        <v/>
      </c>
      <c r="AA157" s="42" t="str">
        <f aca="false">IF(AND(ISNUMBER(Z157),ISNUMBER(J157)),IF(J157&gt;0,Z157/J157,""),"")</f>
        <v/>
      </c>
      <c r="AB157" s="46" t="str">
        <f aca="false">IF($P157="","",TRIM(IF(AND($P157="Y",ISNUMBER(K157),ISNUMBER(Z157)),IF(Z157&gt;K157,"Above range max. ",""),"")&amp;IF(AND($P157="Y",ISNUMBER($X157),ISNUMBER($Y157)),IF($X157-$Y157&gt;0.005,"Capped at range max. ",""),"")&amp;IF(AND(AND(ISNUMBER($G157),$G157&gt;=0,$G157&lt;=1),$H157=""),"Override needs a reason. ","")&amp;IF(AND(AND(ISNUMBER($G157),$G157&gt;=0,$G157&lt;=1),$P157&lt;&gt;"Y"),"Override ignored. ","")&amp;IF(AND($G157&lt;&gt;"",NOT(AND(ISNUMBER($G157),$G157&gt;=0,$G157&lt;=1))),"Override not valid, ignored. ","")&amp;IF(AND($A157&lt;&gt;"",COUNTIF($A$5:$A$254,$A157)&gt;1),"Duplicate ID. ","")))</f>
        <v/>
      </c>
    </row>
    <row r="158" customFormat="false" ht="15" hidden="false" customHeight="false" outlineLevel="0" collapsed="false">
      <c r="A158" s="18"/>
      <c r="B158" s="38"/>
      <c r="C158" s="39"/>
      <c r="D158" s="38"/>
      <c r="E158" s="19"/>
      <c r="F158" s="38"/>
      <c r="G158" s="40"/>
      <c r="H158" s="18"/>
      <c r="I158" s="41" t="str">
        <f aca="false">IF(COUNTA($A158:$F158)=0,"",IF($B158="","",IFERROR(INDEX(Ranges!$B$5:$B$16,MATCH($B158,Ranges!$A$5:$A$16,0)),"")))</f>
        <v/>
      </c>
      <c r="J158" s="41" t="str">
        <f aca="false">IF(COUNTA($A158:$F158)=0,"",IF($B158="","",IFERROR(INDEX(Ranges!$C$5:$C$16,MATCH($B158,Ranges!$A$5:$A$16,0)),"")))</f>
        <v/>
      </c>
      <c r="K158" s="41" t="str">
        <f aca="false">IF(COUNTA($A158:$F158)=0,"",IF($B158="","",IFERROR(INDEX(Ranges!$D$5:$D$16,MATCH($B158,Ranges!$A$5:$A$16,0)),"")))</f>
        <v/>
      </c>
      <c r="L158" s="42" t="str">
        <f aca="false">IF(OR(NOT(ISNUMBER($E158)),NOT(ISNUMBER(J158))),"",IF(J158&gt;0,$E158/J158,""))</f>
        <v/>
      </c>
      <c r="M158" s="43" t="str">
        <f aca="false">IF(OR(NOT(ISNUMBER($E158)),NOT(ISNUMBER(I158)),NOT(ISNUMBER(K158))),"",IF(K158&gt;I158,($E158-I158)/(K158-I158),""))</f>
        <v/>
      </c>
      <c r="N158" s="42" t="str">
        <f aca="false">IF(Basis="Compa-ratio",L158,M158)</f>
        <v/>
      </c>
      <c r="O158" s="44" t="str">
        <f aca="false">IF(ISNUMBER(N158),IFERROR(MATCH(N158,Matrix!$C$9:$G$9,1),1),"")</f>
        <v/>
      </c>
      <c r="P158" s="45" t="str">
        <f aca="false">IF(COUNTA($A158:$F158)=0,"",IF(Q158="","Y","N"))</f>
        <v/>
      </c>
      <c r="Q158" s="46" t="str">
        <f aca="false">IF(COUNTA($A158:$F158)=0,"",IF($A158="","ID missing",IF(TRIM($F158)="Exclude","Excluded by plan status",IF(AND(TRIM($F158)&lt;&gt;"",TRIM($F158)&lt;&gt;"Include"),"Plan status not valid (use Include or Exclude)",IF(NOT(ISNUMBER($C158)),"Hire date missing or not a date",IF($C158&gt;Cutoff,"Hired after cutoff",IF(NOT(ISNUMBER($E158)),"Salary missing or not a number",IF($E158&lt;=0,"Salary missing or not a number",IF(OR(NOT(ISNUMBER(I158)),NOT(ISNUMBER(J158)),NOT(ISNUMBER(K158))),"Grade not found in Ranges",IF($D158="","Rating missing",IF($D158="NR","Not rated (NR)",IF(NOT(ISNUMBER(MATCH($D158,Matrix!$A$14:$A$18,0))),"Rating not valid (use 1 to 5 or NR)",IF(NOT(ISNUMBER(O158)),"Band not found (check range and limits)","")))))))))))))</f>
        <v/>
      </c>
      <c r="R158" s="47" t="str">
        <f aca="false">IF($P158="Y",INDEX(Matrix!$C$14:$G$18,MATCH($D158,Matrix!$A$14:$A$18,0),$O158),IF($P158="N",0,""))</f>
        <v/>
      </c>
      <c r="S158" s="47" t="str">
        <f aca="false">IF($P158="Y",IF(AND(ISNUMBER($G158),$G158&gt;=0,$G158&lt;=1),$G158,$R158),IF($P158="N",0,""))</f>
        <v/>
      </c>
      <c r="T158" s="48" t="str">
        <f aca="false">IF($P158&lt;&gt;"Y",IF($P158="N",0,""),IF(ProrateMethod="None",1,IF($C158&lt;=PeriodStart,1,IF(ProrateMethod="Daily",MAX(0,MIN(1,(PeriodEnd-$C158+1)/(PeriodEnd-PeriodStart+1))),MAX(0,MIN(1,((YEAR(PeriodEnd)-YEAR($C158))*12+MONTH(PeriodEnd)-MONTH($C158)+1-IF(DAY($C158)&gt;MonthCutDay,1,0))/PeriodMonths))))))</f>
        <v/>
      </c>
      <c r="U158" s="47" t="str">
        <f aca="false">IF($P158="","",$S158*$T158)</f>
        <v/>
      </c>
      <c r="V158" s="49" t="str">
        <f aca="false">IF($P158="","",IF(ISNUMBER($E158),$E158,0)*$R158)</f>
        <v/>
      </c>
      <c r="W158" s="49" t="str">
        <f aca="false">IF($P158="","",IF(ISNUMBER($E158),$E158,0)*$S158)</f>
        <v/>
      </c>
      <c r="X158" s="49" t="str">
        <f aca="false">IF($P158="","",IF(ISNUMBER($E158),$E158,0)*$U158)</f>
        <v/>
      </c>
      <c r="Y158" s="49" t="str">
        <f aca="false">IF($P158="","",IF(AND(CapAtMax="Yes",$P158="Y"),MAX(0,MIN($X158,$K158-$E158)),$X158))</f>
        <v/>
      </c>
      <c r="Z158" s="41" t="str">
        <f aca="false">IF(OR($P158="",NOT(ISNUMBER($E158))),"",$E158+$Y158)</f>
        <v/>
      </c>
      <c r="AA158" s="42" t="str">
        <f aca="false">IF(AND(ISNUMBER(Z158),ISNUMBER(J158)),IF(J158&gt;0,Z158/J158,""),"")</f>
        <v/>
      </c>
      <c r="AB158" s="46" t="str">
        <f aca="false">IF($P158="","",TRIM(IF(AND($P158="Y",ISNUMBER(K158),ISNUMBER(Z158)),IF(Z158&gt;K158,"Above range max. ",""),"")&amp;IF(AND($P158="Y",ISNUMBER($X158),ISNUMBER($Y158)),IF($X158-$Y158&gt;0.005,"Capped at range max. ",""),"")&amp;IF(AND(AND(ISNUMBER($G158),$G158&gt;=0,$G158&lt;=1),$H158=""),"Override needs a reason. ","")&amp;IF(AND(AND(ISNUMBER($G158),$G158&gt;=0,$G158&lt;=1),$P158&lt;&gt;"Y"),"Override ignored. ","")&amp;IF(AND($G158&lt;&gt;"",NOT(AND(ISNUMBER($G158),$G158&gt;=0,$G158&lt;=1))),"Override not valid, ignored. ","")&amp;IF(AND($A158&lt;&gt;"",COUNTIF($A$5:$A$254,$A158)&gt;1),"Duplicate ID. ","")))</f>
        <v/>
      </c>
    </row>
    <row r="159" customFormat="false" ht="15" hidden="false" customHeight="false" outlineLevel="0" collapsed="false">
      <c r="A159" s="18"/>
      <c r="B159" s="38"/>
      <c r="C159" s="39"/>
      <c r="D159" s="38"/>
      <c r="E159" s="19"/>
      <c r="F159" s="38"/>
      <c r="G159" s="40"/>
      <c r="H159" s="18"/>
      <c r="I159" s="41" t="str">
        <f aca="false">IF(COUNTA($A159:$F159)=0,"",IF($B159="","",IFERROR(INDEX(Ranges!$B$5:$B$16,MATCH($B159,Ranges!$A$5:$A$16,0)),"")))</f>
        <v/>
      </c>
      <c r="J159" s="41" t="str">
        <f aca="false">IF(COUNTA($A159:$F159)=0,"",IF($B159="","",IFERROR(INDEX(Ranges!$C$5:$C$16,MATCH($B159,Ranges!$A$5:$A$16,0)),"")))</f>
        <v/>
      </c>
      <c r="K159" s="41" t="str">
        <f aca="false">IF(COUNTA($A159:$F159)=0,"",IF($B159="","",IFERROR(INDEX(Ranges!$D$5:$D$16,MATCH($B159,Ranges!$A$5:$A$16,0)),"")))</f>
        <v/>
      </c>
      <c r="L159" s="42" t="str">
        <f aca="false">IF(OR(NOT(ISNUMBER($E159)),NOT(ISNUMBER(J159))),"",IF(J159&gt;0,$E159/J159,""))</f>
        <v/>
      </c>
      <c r="M159" s="43" t="str">
        <f aca="false">IF(OR(NOT(ISNUMBER($E159)),NOT(ISNUMBER(I159)),NOT(ISNUMBER(K159))),"",IF(K159&gt;I159,($E159-I159)/(K159-I159),""))</f>
        <v/>
      </c>
      <c r="N159" s="42" t="str">
        <f aca="false">IF(Basis="Compa-ratio",L159,M159)</f>
        <v/>
      </c>
      <c r="O159" s="44" t="str">
        <f aca="false">IF(ISNUMBER(N159),IFERROR(MATCH(N159,Matrix!$C$9:$G$9,1),1),"")</f>
        <v/>
      </c>
      <c r="P159" s="45" t="str">
        <f aca="false">IF(COUNTA($A159:$F159)=0,"",IF(Q159="","Y","N"))</f>
        <v/>
      </c>
      <c r="Q159" s="46" t="str">
        <f aca="false">IF(COUNTA($A159:$F159)=0,"",IF($A159="","ID missing",IF(TRIM($F159)="Exclude","Excluded by plan status",IF(AND(TRIM($F159)&lt;&gt;"",TRIM($F159)&lt;&gt;"Include"),"Plan status not valid (use Include or Exclude)",IF(NOT(ISNUMBER($C159)),"Hire date missing or not a date",IF($C159&gt;Cutoff,"Hired after cutoff",IF(NOT(ISNUMBER($E159)),"Salary missing or not a number",IF($E159&lt;=0,"Salary missing or not a number",IF(OR(NOT(ISNUMBER(I159)),NOT(ISNUMBER(J159)),NOT(ISNUMBER(K159))),"Grade not found in Ranges",IF($D159="","Rating missing",IF($D159="NR","Not rated (NR)",IF(NOT(ISNUMBER(MATCH($D159,Matrix!$A$14:$A$18,0))),"Rating not valid (use 1 to 5 or NR)",IF(NOT(ISNUMBER(O159)),"Band not found (check range and limits)","")))))))))))))</f>
        <v/>
      </c>
      <c r="R159" s="47" t="str">
        <f aca="false">IF($P159="Y",INDEX(Matrix!$C$14:$G$18,MATCH($D159,Matrix!$A$14:$A$18,0),$O159),IF($P159="N",0,""))</f>
        <v/>
      </c>
      <c r="S159" s="47" t="str">
        <f aca="false">IF($P159="Y",IF(AND(ISNUMBER($G159),$G159&gt;=0,$G159&lt;=1),$G159,$R159),IF($P159="N",0,""))</f>
        <v/>
      </c>
      <c r="T159" s="48" t="str">
        <f aca="false">IF($P159&lt;&gt;"Y",IF($P159="N",0,""),IF(ProrateMethod="None",1,IF($C159&lt;=PeriodStart,1,IF(ProrateMethod="Daily",MAX(0,MIN(1,(PeriodEnd-$C159+1)/(PeriodEnd-PeriodStart+1))),MAX(0,MIN(1,((YEAR(PeriodEnd)-YEAR($C159))*12+MONTH(PeriodEnd)-MONTH($C159)+1-IF(DAY($C159)&gt;MonthCutDay,1,0))/PeriodMonths))))))</f>
        <v/>
      </c>
      <c r="U159" s="47" t="str">
        <f aca="false">IF($P159="","",$S159*$T159)</f>
        <v/>
      </c>
      <c r="V159" s="49" t="str">
        <f aca="false">IF($P159="","",IF(ISNUMBER($E159),$E159,0)*$R159)</f>
        <v/>
      </c>
      <c r="W159" s="49" t="str">
        <f aca="false">IF($P159="","",IF(ISNUMBER($E159),$E159,0)*$S159)</f>
        <v/>
      </c>
      <c r="X159" s="49" t="str">
        <f aca="false">IF($P159="","",IF(ISNUMBER($E159),$E159,0)*$U159)</f>
        <v/>
      </c>
      <c r="Y159" s="49" t="str">
        <f aca="false">IF($P159="","",IF(AND(CapAtMax="Yes",$P159="Y"),MAX(0,MIN($X159,$K159-$E159)),$X159))</f>
        <v/>
      </c>
      <c r="Z159" s="41" t="str">
        <f aca="false">IF(OR($P159="",NOT(ISNUMBER($E159))),"",$E159+$Y159)</f>
        <v/>
      </c>
      <c r="AA159" s="42" t="str">
        <f aca="false">IF(AND(ISNUMBER(Z159),ISNUMBER(J159)),IF(J159&gt;0,Z159/J159,""),"")</f>
        <v/>
      </c>
      <c r="AB159" s="46" t="str">
        <f aca="false">IF($P159="","",TRIM(IF(AND($P159="Y",ISNUMBER(K159),ISNUMBER(Z159)),IF(Z159&gt;K159,"Above range max. ",""),"")&amp;IF(AND($P159="Y",ISNUMBER($X159),ISNUMBER($Y159)),IF($X159-$Y159&gt;0.005,"Capped at range max. ",""),"")&amp;IF(AND(AND(ISNUMBER($G159),$G159&gt;=0,$G159&lt;=1),$H159=""),"Override needs a reason. ","")&amp;IF(AND(AND(ISNUMBER($G159),$G159&gt;=0,$G159&lt;=1),$P159&lt;&gt;"Y"),"Override ignored. ","")&amp;IF(AND($G159&lt;&gt;"",NOT(AND(ISNUMBER($G159),$G159&gt;=0,$G159&lt;=1))),"Override not valid, ignored. ","")&amp;IF(AND($A159&lt;&gt;"",COUNTIF($A$5:$A$254,$A159)&gt;1),"Duplicate ID. ","")))</f>
        <v/>
      </c>
    </row>
    <row r="160" customFormat="false" ht="15" hidden="false" customHeight="false" outlineLevel="0" collapsed="false">
      <c r="A160" s="18"/>
      <c r="B160" s="38"/>
      <c r="C160" s="39"/>
      <c r="D160" s="38"/>
      <c r="E160" s="19"/>
      <c r="F160" s="38"/>
      <c r="G160" s="40"/>
      <c r="H160" s="18"/>
      <c r="I160" s="41" t="str">
        <f aca="false">IF(COUNTA($A160:$F160)=0,"",IF($B160="","",IFERROR(INDEX(Ranges!$B$5:$B$16,MATCH($B160,Ranges!$A$5:$A$16,0)),"")))</f>
        <v/>
      </c>
      <c r="J160" s="41" t="str">
        <f aca="false">IF(COUNTA($A160:$F160)=0,"",IF($B160="","",IFERROR(INDEX(Ranges!$C$5:$C$16,MATCH($B160,Ranges!$A$5:$A$16,0)),"")))</f>
        <v/>
      </c>
      <c r="K160" s="41" t="str">
        <f aca="false">IF(COUNTA($A160:$F160)=0,"",IF($B160="","",IFERROR(INDEX(Ranges!$D$5:$D$16,MATCH($B160,Ranges!$A$5:$A$16,0)),"")))</f>
        <v/>
      </c>
      <c r="L160" s="42" t="str">
        <f aca="false">IF(OR(NOT(ISNUMBER($E160)),NOT(ISNUMBER(J160))),"",IF(J160&gt;0,$E160/J160,""))</f>
        <v/>
      </c>
      <c r="M160" s="43" t="str">
        <f aca="false">IF(OR(NOT(ISNUMBER($E160)),NOT(ISNUMBER(I160)),NOT(ISNUMBER(K160))),"",IF(K160&gt;I160,($E160-I160)/(K160-I160),""))</f>
        <v/>
      </c>
      <c r="N160" s="42" t="str">
        <f aca="false">IF(Basis="Compa-ratio",L160,M160)</f>
        <v/>
      </c>
      <c r="O160" s="44" t="str">
        <f aca="false">IF(ISNUMBER(N160),IFERROR(MATCH(N160,Matrix!$C$9:$G$9,1),1),"")</f>
        <v/>
      </c>
      <c r="P160" s="45" t="str">
        <f aca="false">IF(COUNTA($A160:$F160)=0,"",IF(Q160="","Y","N"))</f>
        <v/>
      </c>
      <c r="Q160" s="46" t="str">
        <f aca="false">IF(COUNTA($A160:$F160)=0,"",IF($A160="","ID missing",IF(TRIM($F160)="Exclude","Excluded by plan status",IF(AND(TRIM($F160)&lt;&gt;"",TRIM($F160)&lt;&gt;"Include"),"Plan status not valid (use Include or Exclude)",IF(NOT(ISNUMBER($C160)),"Hire date missing or not a date",IF($C160&gt;Cutoff,"Hired after cutoff",IF(NOT(ISNUMBER($E160)),"Salary missing or not a number",IF($E160&lt;=0,"Salary missing or not a number",IF(OR(NOT(ISNUMBER(I160)),NOT(ISNUMBER(J160)),NOT(ISNUMBER(K160))),"Grade not found in Ranges",IF($D160="","Rating missing",IF($D160="NR","Not rated (NR)",IF(NOT(ISNUMBER(MATCH($D160,Matrix!$A$14:$A$18,0))),"Rating not valid (use 1 to 5 or NR)",IF(NOT(ISNUMBER(O160)),"Band not found (check range and limits)","")))))))))))))</f>
        <v/>
      </c>
      <c r="R160" s="47" t="str">
        <f aca="false">IF($P160="Y",INDEX(Matrix!$C$14:$G$18,MATCH($D160,Matrix!$A$14:$A$18,0),$O160),IF($P160="N",0,""))</f>
        <v/>
      </c>
      <c r="S160" s="47" t="str">
        <f aca="false">IF($P160="Y",IF(AND(ISNUMBER($G160),$G160&gt;=0,$G160&lt;=1),$G160,$R160),IF($P160="N",0,""))</f>
        <v/>
      </c>
      <c r="T160" s="48" t="str">
        <f aca="false">IF($P160&lt;&gt;"Y",IF($P160="N",0,""),IF(ProrateMethod="None",1,IF($C160&lt;=PeriodStart,1,IF(ProrateMethod="Daily",MAX(0,MIN(1,(PeriodEnd-$C160+1)/(PeriodEnd-PeriodStart+1))),MAX(0,MIN(1,((YEAR(PeriodEnd)-YEAR($C160))*12+MONTH(PeriodEnd)-MONTH($C160)+1-IF(DAY($C160)&gt;MonthCutDay,1,0))/PeriodMonths))))))</f>
        <v/>
      </c>
      <c r="U160" s="47" t="str">
        <f aca="false">IF($P160="","",$S160*$T160)</f>
        <v/>
      </c>
      <c r="V160" s="49" t="str">
        <f aca="false">IF($P160="","",IF(ISNUMBER($E160),$E160,0)*$R160)</f>
        <v/>
      </c>
      <c r="W160" s="49" t="str">
        <f aca="false">IF($P160="","",IF(ISNUMBER($E160),$E160,0)*$S160)</f>
        <v/>
      </c>
      <c r="X160" s="49" t="str">
        <f aca="false">IF($P160="","",IF(ISNUMBER($E160),$E160,0)*$U160)</f>
        <v/>
      </c>
      <c r="Y160" s="49" t="str">
        <f aca="false">IF($P160="","",IF(AND(CapAtMax="Yes",$P160="Y"),MAX(0,MIN($X160,$K160-$E160)),$X160))</f>
        <v/>
      </c>
      <c r="Z160" s="41" t="str">
        <f aca="false">IF(OR($P160="",NOT(ISNUMBER($E160))),"",$E160+$Y160)</f>
        <v/>
      </c>
      <c r="AA160" s="42" t="str">
        <f aca="false">IF(AND(ISNUMBER(Z160),ISNUMBER(J160)),IF(J160&gt;0,Z160/J160,""),"")</f>
        <v/>
      </c>
      <c r="AB160" s="46" t="str">
        <f aca="false">IF($P160="","",TRIM(IF(AND($P160="Y",ISNUMBER(K160),ISNUMBER(Z160)),IF(Z160&gt;K160,"Above range max. ",""),"")&amp;IF(AND($P160="Y",ISNUMBER($X160),ISNUMBER($Y160)),IF($X160-$Y160&gt;0.005,"Capped at range max. ",""),"")&amp;IF(AND(AND(ISNUMBER($G160),$G160&gt;=0,$G160&lt;=1),$H160=""),"Override needs a reason. ","")&amp;IF(AND(AND(ISNUMBER($G160),$G160&gt;=0,$G160&lt;=1),$P160&lt;&gt;"Y"),"Override ignored. ","")&amp;IF(AND($G160&lt;&gt;"",NOT(AND(ISNUMBER($G160),$G160&gt;=0,$G160&lt;=1))),"Override not valid, ignored. ","")&amp;IF(AND($A160&lt;&gt;"",COUNTIF($A$5:$A$254,$A160)&gt;1),"Duplicate ID. ","")))</f>
        <v/>
      </c>
    </row>
    <row r="161" customFormat="false" ht="15" hidden="false" customHeight="false" outlineLevel="0" collapsed="false">
      <c r="A161" s="18"/>
      <c r="B161" s="38"/>
      <c r="C161" s="39"/>
      <c r="D161" s="38"/>
      <c r="E161" s="19"/>
      <c r="F161" s="38"/>
      <c r="G161" s="40"/>
      <c r="H161" s="18"/>
      <c r="I161" s="41" t="str">
        <f aca="false">IF(COUNTA($A161:$F161)=0,"",IF($B161="","",IFERROR(INDEX(Ranges!$B$5:$B$16,MATCH($B161,Ranges!$A$5:$A$16,0)),"")))</f>
        <v/>
      </c>
      <c r="J161" s="41" t="str">
        <f aca="false">IF(COUNTA($A161:$F161)=0,"",IF($B161="","",IFERROR(INDEX(Ranges!$C$5:$C$16,MATCH($B161,Ranges!$A$5:$A$16,0)),"")))</f>
        <v/>
      </c>
      <c r="K161" s="41" t="str">
        <f aca="false">IF(COUNTA($A161:$F161)=0,"",IF($B161="","",IFERROR(INDEX(Ranges!$D$5:$D$16,MATCH($B161,Ranges!$A$5:$A$16,0)),"")))</f>
        <v/>
      </c>
      <c r="L161" s="42" t="str">
        <f aca="false">IF(OR(NOT(ISNUMBER($E161)),NOT(ISNUMBER(J161))),"",IF(J161&gt;0,$E161/J161,""))</f>
        <v/>
      </c>
      <c r="M161" s="43" t="str">
        <f aca="false">IF(OR(NOT(ISNUMBER($E161)),NOT(ISNUMBER(I161)),NOT(ISNUMBER(K161))),"",IF(K161&gt;I161,($E161-I161)/(K161-I161),""))</f>
        <v/>
      </c>
      <c r="N161" s="42" t="str">
        <f aca="false">IF(Basis="Compa-ratio",L161,M161)</f>
        <v/>
      </c>
      <c r="O161" s="44" t="str">
        <f aca="false">IF(ISNUMBER(N161),IFERROR(MATCH(N161,Matrix!$C$9:$G$9,1),1),"")</f>
        <v/>
      </c>
      <c r="P161" s="45" t="str">
        <f aca="false">IF(COUNTA($A161:$F161)=0,"",IF(Q161="","Y","N"))</f>
        <v/>
      </c>
      <c r="Q161" s="46" t="str">
        <f aca="false">IF(COUNTA($A161:$F161)=0,"",IF($A161="","ID missing",IF(TRIM($F161)="Exclude","Excluded by plan status",IF(AND(TRIM($F161)&lt;&gt;"",TRIM($F161)&lt;&gt;"Include"),"Plan status not valid (use Include or Exclude)",IF(NOT(ISNUMBER($C161)),"Hire date missing or not a date",IF($C161&gt;Cutoff,"Hired after cutoff",IF(NOT(ISNUMBER($E161)),"Salary missing or not a number",IF($E161&lt;=0,"Salary missing or not a number",IF(OR(NOT(ISNUMBER(I161)),NOT(ISNUMBER(J161)),NOT(ISNUMBER(K161))),"Grade not found in Ranges",IF($D161="","Rating missing",IF($D161="NR","Not rated (NR)",IF(NOT(ISNUMBER(MATCH($D161,Matrix!$A$14:$A$18,0))),"Rating not valid (use 1 to 5 or NR)",IF(NOT(ISNUMBER(O161)),"Band not found (check range and limits)","")))))))))))))</f>
        <v/>
      </c>
      <c r="R161" s="47" t="str">
        <f aca="false">IF($P161="Y",INDEX(Matrix!$C$14:$G$18,MATCH($D161,Matrix!$A$14:$A$18,0),$O161),IF($P161="N",0,""))</f>
        <v/>
      </c>
      <c r="S161" s="47" t="str">
        <f aca="false">IF($P161="Y",IF(AND(ISNUMBER($G161),$G161&gt;=0,$G161&lt;=1),$G161,$R161),IF($P161="N",0,""))</f>
        <v/>
      </c>
      <c r="T161" s="48" t="str">
        <f aca="false">IF($P161&lt;&gt;"Y",IF($P161="N",0,""),IF(ProrateMethod="None",1,IF($C161&lt;=PeriodStart,1,IF(ProrateMethod="Daily",MAX(0,MIN(1,(PeriodEnd-$C161+1)/(PeriodEnd-PeriodStart+1))),MAX(0,MIN(1,((YEAR(PeriodEnd)-YEAR($C161))*12+MONTH(PeriodEnd)-MONTH($C161)+1-IF(DAY($C161)&gt;MonthCutDay,1,0))/PeriodMonths))))))</f>
        <v/>
      </c>
      <c r="U161" s="47" t="str">
        <f aca="false">IF($P161="","",$S161*$T161)</f>
        <v/>
      </c>
      <c r="V161" s="49" t="str">
        <f aca="false">IF($P161="","",IF(ISNUMBER($E161),$E161,0)*$R161)</f>
        <v/>
      </c>
      <c r="W161" s="49" t="str">
        <f aca="false">IF($P161="","",IF(ISNUMBER($E161),$E161,0)*$S161)</f>
        <v/>
      </c>
      <c r="X161" s="49" t="str">
        <f aca="false">IF($P161="","",IF(ISNUMBER($E161),$E161,0)*$U161)</f>
        <v/>
      </c>
      <c r="Y161" s="49" t="str">
        <f aca="false">IF($P161="","",IF(AND(CapAtMax="Yes",$P161="Y"),MAX(0,MIN($X161,$K161-$E161)),$X161))</f>
        <v/>
      </c>
      <c r="Z161" s="41" t="str">
        <f aca="false">IF(OR($P161="",NOT(ISNUMBER($E161))),"",$E161+$Y161)</f>
        <v/>
      </c>
      <c r="AA161" s="42" t="str">
        <f aca="false">IF(AND(ISNUMBER(Z161),ISNUMBER(J161)),IF(J161&gt;0,Z161/J161,""),"")</f>
        <v/>
      </c>
      <c r="AB161" s="46" t="str">
        <f aca="false">IF($P161="","",TRIM(IF(AND($P161="Y",ISNUMBER(K161),ISNUMBER(Z161)),IF(Z161&gt;K161,"Above range max. ",""),"")&amp;IF(AND($P161="Y",ISNUMBER($X161),ISNUMBER($Y161)),IF($X161-$Y161&gt;0.005,"Capped at range max. ",""),"")&amp;IF(AND(AND(ISNUMBER($G161),$G161&gt;=0,$G161&lt;=1),$H161=""),"Override needs a reason. ","")&amp;IF(AND(AND(ISNUMBER($G161),$G161&gt;=0,$G161&lt;=1),$P161&lt;&gt;"Y"),"Override ignored. ","")&amp;IF(AND($G161&lt;&gt;"",NOT(AND(ISNUMBER($G161),$G161&gt;=0,$G161&lt;=1))),"Override not valid, ignored. ","")&amp;IF(AND($A161&lt;&gt;"",COUNTIF($A$5:$A$254,$A161)&gt;1),"Duplicate ID. ","")))</f>
        <v/>
      </c>
    </row>
    <row r="162" customFormat="false" ht="15" hidden="false" customHeight="false" outlineLevel="0" collapsed="false">
      <c r="A162" s="18"/>
      <c r="B162" s="38"/>
      <c r="C162" s="39"/>
      <c r="D162" s="38"/>
      <c r="E162" s="19"/>
      <c r="F162" s="38"/>
      <c r="G162" s="40"/>
      <c r="H162" s="18"/>
      <c r="I162" s="41" t="str">
        <f aca="false">IF(COUNTA($A162:$F162)=0,"",IF($B162="","",IFERROR(INDEX(Ranges!$B$5:$B$16,MATCH($B162,Ranges!$A$5:$A$16,0)),"")))</f>
        <v/>
      </c>
      <c r="J162" s="41" t="str">
        <f aca="false">IF(COUNTA($A162:$F162)=0,"",IF($B162="","",IFERROR(INDEX(Ranges!$C$5:$C$16,MATCH($B162,Ranges!$A$5:$A$16,0)),"")))</f>
        <v/>
      </c>
      <c r="K162" s="41" t="str">
        <f aca="false">IF(COUNTA($A162:$F162)=0,"",IF($B162="","",IFERROR(INDEX(Ranges!$D$5:$D$16,MATCH($B162,Ranges!$A$5:$A$16,0)),"")))</f>
        <v/>
      </c>
      <c r="L162" s="42" t="str">
        <f aca="false">IF(OR(NOT(ISNUMBER($E162)),NOT(ISNUMBER(J162))),"",IF(J162&gt;0,$E162/J162,""))</f>
        <v/>
      </c>
      <c r="M162" s="43" t="str">
        <f aca="false">IF(OR(NOT(ISNUMBER($E162)),NOT(ISNUMBER(I162)),NOT(ISNUMBER(K162))),"",IF(K162&gt;I162,($E162-I162)/(K162-I162),""))</f>
        <v/>
      </c>
      <c r="N162" s="42" t="str">
        <f aca="false">IF(Basis="Compa-ratio",L162,M162)</f>
        <v/>
      </c>
      <c r="O162" s="44" t="str">
        <f aca="false">IF(ISNUMBER(N162),IFERROR(MATCH(N162,Matrix!$C$9:$G$9,1),1),"")</f>
        <v/>
      </c>
      <c r="P162" s="45" t="str">
        <f aca="false">IF(COUNTA($A162:$F162)=0,"",IF(Q162="","Y","N"))</f>
        <v/>
      </c>
      <c r="Q162" s="46" t="str">
        <f aca="false">IF(COUNTA($A162:$F162)=0,"",IF($A162="","ID missing",IF(TRIM($F162)="Exclude","Excluded by plan status",IF(AND(TRIM($F162)&lt;&gt;"",TRIM($F162)&lt;&gt;"Include"),"Plan status not valid (use Include or Exclude)",IF(NOT(ISNUMBER($C162)),"Hire date missing or not a date",IF($C162&gt;Cutoff,"Hired after cutoff",IF(NOT(ISNUMBER($E162)),"Salary missing or not a number",IF($E162&lt;=0,"Salary missing or not a number",IF(OR(NOT(ISNUMBER(I162)),NOT(ISNUMBER(J162)),NOT(ISNUMBER(K162))),"Grade not found in Ranges",IF($D162="","Rating missing",IF($D162="NR","Not rated (NR)",IF(NOT(ISNUMBER(MATCH($D162,Matrix!$A$14:$A$18,0))),"Rating not valid (use 1 to 5 or NR)",IF(NOT(ISNUMBER(O162)),"Band not found (check range and limits)","")))))))))))))</f>
        <v/>
      </c>
      <c r="R162" s="47" t="str">
        <f aca="false">IF($P162="Y",INDEX(Matrix!$C$14:$G$18,MATCH($D162,Matrix!$A$14:$A$18,0),$O162),IF($P162="N",0,""))</f>
        <v/>
      </c>
      <c r="S162" s="47" t="str">
        <f aca="false">IF($P162="Y",IF(AND(ISNUMBER($G162),$G162&gt;=0,$G162&lt;=1),$G162,$R162),IF($P162="N",0,""))</f>
        <v/>
      </c>
      <c r="T162" s="48" t="str">
        <f aca="false">IF($P162&lt;&gt;"Y",IF($P162="N",0,""),IF(ProrateMethod="None",1,IF($C162&lt;=PeriodStart,1,IF(ProrateMethod="Daily",MAX(0,MIN(1,(PeriodEnd-$C162+1)/(PeriodEnd-PeriodStart+1))),MAX(0,MIN(1,((YEAR(PeriodEnd)-YEAR($C162))*12+MONTH(PeriodEnd)-MONTH($C162)+1-IF(DAY($C162)&gt;MonthCutDay,1,0))/PeriodMonths))))))</f>
        <v/>
      </c>
      <c r="U162" s="47" t="str">
        <f aca="false">IF($P162="","",$S162*$T162)</f>
        <v/>
      </c>
      <c r="V162" s="49" t="str">
        <f aca="false">IF($P162="","",IF(ISNUMBER($E162),$E162,0)*$R162)</f>
        <v/>
      </c>
      <c r="W162" s="49" t="str">
        <f aca="false">IF($P162="","",IF(ISNUMBER($E162),$E162,0)*$S162)</f>
        <v/>
      </c>
      <c r="X162" s="49" t="str">
        <f aca="false">IF($P162="","",IF(ISNUMBER($E162),$E162,0)*$U162)</f>
        <v/>
      </c>
      <c r="Y162" s="49" t="str">
        <f aca="false">IF($P162="","",IF(AND(CapAtMax="Yes",$P162="Y"),MAX(0,MIN($X162,$K162-$E162)),$X162))</f>
        <v/>
      </c>
      <c r="Z162" s="41" t="str">
        <f aca="false">IF(OR($P162="",NOT(ISNUMBER($E162))),"",$E162+$Y162)</f>
        <v/>
      </c>
      <c r="AA162" s="42" t="str">
        <f aca="false">IF(AND(ISNUMBER(Z162),ISNUMBER(J162)),IF(J162&gt;0,Z162/J162,""),"")</f>
        <v/>
      </c>
      <c r="AB162" s="46" t="str">
        <f aca="false">IF($P162="","",TRIM(IF(AND($P162="Y",ISNUMBER(K162),ISNUMBER(Z162)),IF(Z162&gt;K162,"Above range max. ",""),"")&amp;IF(AND($P162="Y",ISNUMBER($X162),ISNUMBER($Y162)),IF($X162-$Y162&gt;0.005,"Capped at range max. ",""),"")&amp;IF(AND(AND(ISNUMBER($G162),$G162&gt;=0,$G162&lt;=1),$H162=""),"Override needs a reason. ","")&amp;IF(AND(AND(ISNUMBER($G162),$G162&gt;=0,$G162&lt;=1),$P162&lt;&gt;"Y"),"Override ignored. ","")&amp;IF(AND($G162&lt;&gt;"",NOT(AND(ISNUMBER($G162),$G162&gt;=0,$G162&lt;=1))),"Override not valid, ignored. ","")&amp;IF(AND($A162&lt;&gt;"",COUNTIF($A$5:$A$254,$A162)&gt;1),"Duplicate ID. ","")))</f>
        <v/>
      </c>
    </row>
    <row r="163" customFormat="false" ht="15" hidden="false" customHeight="false" outlineLevel="0" collapsed="false">
      <c r="A163" s="18"/>
      <c r="B163" s="38"/>
      <c r="C163" s="39"/>
      <c r="D163" s="38"/>
      <c r="E163" s="19"/>
      <c r="F163" s="38"/>
      <c r="G163" s="40"/>
      <c r="H163" s="18"/>
      <c r="I163" s="41" t="str">
        <f aca="false">IF(COUNTA($A163:$F163)=0,"",IF($B163="","",IFERROR(INDEX(Ranges!$B$5:$B$16,MATCH($B163,Ranges!$A$5:$A$16,0)),"")))</f>
        <v/>
      </c>
      <c r="J163" s="41" t="str">
        <f aca="false">IF(COUNTA($A163:$F163)=0,"",IF($B163="","",IFERROR(INDEX(Ranges!$C$5:$C$16,MATCH($B163,Ranges!$A$5:$A$16,0)),"")))</f>
        <v/>
      </c>
      <c r="K163" s="41" t="str">
        <f aca="false">IF(COUNTA($A163:$F163)=0,"",IF($B163="","",IFERROR(INDEX(Ranges!$D$5:$D$16,MATCH($B163,Ranges!$A$5:$A$16,0)),"")))</f>
        <v/>
      </c>
      <c r="L163" s="42" t="str">
        <f aca="false">IF(OR(NOT(ISNUMBER($E163)),NOT(ISNUMBER(J163))),"",IF(J163&gt;0,$E163/J163,""))</f>
        <v/>
      </c>
      <c r="M163" s="43" t="str">
        <f aca="false">IF(OR(NOT(ISNUMBER($E163)),NOT(ISNUMBER(I163)),NOT(ISNUMBER(K163))),"",IF(K163&gt;I163,($E163-I163)/(K163-I163),""))</f>
        <v/>
      </c>
      <c r="N163" s="42" t="str">
        <f aca="false">IF(Basis="Compa-ratio",L163,M163)</f>
        <v/>
      </c>
      <c r="O163" s="44" t="str">
        <f aca="false">IF(ISNUMBER(N163),IFERROR(MATCH(N163,Matrix!$C$9:$G$9,1),1),"")</f>
        <v/>
      </c>
      <c r="P163" s="45" t="str">
        <f aca="false">IF(COUNTA($A163:$F163)=0,"",IF(Q163="","Y","N"))</f>
        <v/>
      </c>
      <c r="Q163" s="46" t="str">
        <f aca="false">IF(COUNTA($A163:$F163)=0,"",IF($A163="","ID missing",IF(TRIM($F163)="Exclude","Excluded by plan status",IF(AND(TRIM($F163)&lt;&gt;"",TRIM($F163)&lt;&gt;"Include"),"Plan status not valid (use Include or Exclude)",IF(NOT(ISNUMBER($C163)),"Hire date missing or not a date",IF($C163&gt;Cutoff,"Hired after cutoff",IF(NOT(ISNUMBER($E163)),"Salary missing or not a number",IF($E163&lt;=0,"Salary missing or not a number",IF(OR(NOT(ISNUMBER(I163)),NOT(ISNUMBER(J163)),NOT(ISNUMBER(K163))),"Grade not found in Ranges",IF($D163="","Rating missing",IF($D163="NR","Not rated (NR)",IF(NOT(ISNUMBER(MATCH($D163,Matrix!$A$14:$A$18,0))),"Rating not valid (use 1 to 5 or NR)",IF(NOT(ISNUMBER(O163)),"Band not found (check range and limits)","")))))))))))))</f>
        <v/>
      </c>
      <c r="R163" s="47" t="str">
        <f aca="false">IF($P163="Y",INDEX(Matrix!$C$14:$G$18,MATCH($D163,Matrix!$A$14:$A$18,0),$O163),IF($P163="N",0,""))</f>
        <v/>
      </c>
      <c r="S163" s="47" t="str">
        <f aca="false">IF($P163="Y",IF(AND(ISNUMBER($G163),$G163&gt;=0,$G163&lt;=1),$G163,$R163),IF($P163="N",0,""))</f>
        <v/>
      </c>
      <c r="T163" s="48" t="str">
        <f aca="false">IF($P163&lt;&gt;"Y",IF($P163="N",0,""),IF(ProrateMethod="None",1,IF($C163&lt;=PeriodStart,1,IF(ProrateMethod="Daily",MAX(0,MIN(1,(PeriodEnd-$C163+1)/(PeriodEnd-PeriodStart+1))),MAX(0,MIN(1,((YEAR(PeriodEnd)-YEAR($C163))*12+MONTH(PeriodEnd)-MONTH($C163)+1-IF(DAY($C163)&gt;MonthCutDay,1,0))/PeriodMonths))))))</f>
        <v/>
      </c>
      <c r="U163" s="47" t="str">
        <f aca="false">IF($P163="","",$S163*$T163)</f>
        <v/>
      </c>
      <c r="V163" s="49" t="str">
        <f aca="false">IF($P163="","",IF(ISNUMBER($E163),$E163,0)*$R163)</f>
        <v/>
      </c>
      <c r="W163" s="49" t="str">
        <f aca="false">IF($P163="","",IF(ISNUMBER($E163),$E163,0)*$S163)</f>
        <v/>
      </c>
      <c r="X163" s="49" t="str">
        <f aca="false">IF($P163="","",IF(ISNUMBER($E163),$E163,0)*$U163)</f>
        <v/>
      </c>
      <c r="Y163" s="49" t="str">
        <f aca="false">IF($P163="","",IF(AND(CapAtMax="Yes",$P163="Y"),MAX(0,MIN($X163,$K163-$E163)),$X163))</f>
        <v/>
      </c>
      <c r="Z163" s="41" t="str">
        <f aca="false">IF(OR($P163="",NOT(ISNUMBER($E163))),"",$E163+$Y163)</f>
        <v/>
      </c>
      <c r="AA163" s="42" t="str">
        <f aca="false">IF(AND(ISNUMBER(Z163),ISNUMBER(J163)),IF(J163&gt;0,Z163/J163,""),"")</f>
        <v/>
      </c>
      <c r="AB163" s="46" t="str">
        <f aca="false">IF($P163="","",TRIM(IF(AND($P163="Y",ISNUMBER(K163),ISNUMBER(Z163)),IF(Z163&gt;K163,"Above range max. ",""),"")&amp;IF(AND($P163="Y",ISNUMBER($X163),ISNUMBER($Y163)),IF($X163-$Y163&gt;0.005,"Capped at range max. ",""),"")&amp;IF(AND(AND(ISNUMBER($G163),$G163&gt;=0,$G163&lt;=1),$H163=""),"Override needs a reason. ","")&amp;IF(AND(AND(ISNUMBER($G163),$G163&gt;=0,$G163&lt;=1),$P163&lt;&gt;"Y"),"Override ignored. ","")&amp;IF(AND($G163&lt;&gt;"",NOT(AND(ISNUMBER($G163),$G163&gt;=0,$G163&lt;=1))),"Override not valid, ignored. ","")&amp;IF(AND($A163&lt;&gt;"",COUNTIF($A$5:$A$254,$A163)&gt;1),"Duplicate ID. ","")))</f>
        <v/>
      </c>
    </row>
    <row r="164" customFormat="false" ht="15" hidden="false" customHeight="false" outlineLevel="0" collapsed="false">
      <c r="A164" s="18"/>
      <c r="B164" s="38"/>
      <c r="C164" s="39"/>
      <c r="D164" s="38"/>
      <c r="E164" s="19"/>
      <c r="F164" s="38"/>
      <c r="G164" s="40"/>
      <c r="H164" s="18"/>
      <c r="I164" s="41" t="str">
        <f aca="false">IF(COUNTA($A164:$F164)=0,"",IF($B164="","",IFERROR(INDEX(Ranges!$B$5:$B$16,MATCH($B164,Ranges!$A$5:$A$16,0)),"")))</f>
        <v/>
      </c>
      <c r="J164" s="41" t="str">
        <f aca="false">IF(COUNTA($A164:$F164)=0,"",IF($B164="","",IFERROR(INDEX(Ranges!$C$5:$C$16,MATCH($B164,Ranges!$A$5:$A$16,0)),"")))</f>
        <v/>
      </c>
      <c r="K164" s="41" t="str">
        <f aca="false">IF(COUNTA($A164:$F164)=0,"",IF($B164="","",IFERROR(INDEX(Ranges!$D$5:$D$16,MATCH($B164,Ranges!$A$5:$A$16,0)),"")))</f>
        <v/>
      </c>
      <c r="L164" s="42" t="str">
        <f aca="false">IF(OR(NOT(ISNUMBER($E164)),NOT(ISNUMBER(J164))),"",IF(J164&gt;0,$E164/J164,""))</f>
        <v/>
      </c>
      <c r="M164" s="43" t="str">
        <f aca="false">IF(OR(NOT(ISNUMBER($E164)),NOT(ISNUMBER(I164)),NOT(ISNUMBER(K164))),"",IF(K164&gt;I164,($E164-I164)/(K164-I164),""))</f>
        <v/>
      </c>
      <c r="N164" s="42" t="str">
        <f aca="false">IF(Basis="Compa-ratio",L164,M164)</f>
        <v/>
      </c>
      <c r="O164" s="44" t="str">
        <f aca="false">IF(ISNUMBER(N164),IFERROR(MATCH(N164,Matrix!$C$9:$G$9,1),1),"")</f>
        <v/>
      </c>
      <c r="P164" s="45" t="str">
        <f aca="false">IF(COUNTA($A164:$F164)=0,"",IF(Q164="","Y","N"))</f>
        <v/>
      </c>
      <c r="Q164" s="46" t="str">
        <f aca="false">IF(COUNTA($A164:$F164)=0,"",IF($A164="","ID missing",IF(TRIM($F164)="Exclude","Excluded by plan status",IF(AND(TRIM($F164)&lt;&gt;"",TRIM($F164)&lt;&gt;"Include"),"Plan status not valid (use Include or Exclude)",IF(NOT(ISNUMBER($C164)),"Hire date missing or not a date",IF($C164&gt;Cutoff,"Hired after cutoff",IF(NOT(ISNUMBER($E164)),"Salary missing or not a number",IF($E164&lt;=0,"Salary missing or not a number",IF(OR(NOT(ISNUMBER(I164)),NOT(ISNUMBER(J164)),NOT(ISNUMBER(K164))),"Grade not found in Ranges",IF($D164="","Rating missing",IF($D164="NR","Not rated (NR)",IF(NOT(ISNUMBER(MATCH($D164,Matrix!$A$14:$A$18,0))),"Rating not valid (use 1 to 5 or NR)",IF(NOT(ISNUMBER(O164)),"Band not found (check range and limits)","")))))))))))))</f>
        <v/>
      </c>
      <c r="R164" s="47" t="str">
        <f aca="false">IF($P164="Y",INDEX(Matrix!$C$14:$G$18,MATCH($D164,Matrix!$A$14:$A$18,0),$O164),IF($P164="N",0,""))</f>
        <v/>
      </c>
      <c r="S164" s="47" t="str">
        <f aca="false">IF($P164="Y",IF(AND(ISNUMBER($G164),$G164&gt;=0,$G164&lt;=1),$G164,$R164),IF($P164="N",0,""))</f>
        <v/>
      </c>
      <c r="T164" s="48" t="str">
        <f aca="false">IF($P164&lt;&gt;"Y",IF($P164="N",0,""),IF(ProrateMethod="None",1,IF($C164&lt;=PeriodStart,1,IF(ProrateMethod="Daily",MAX(0,MIN(1,(PeriodEnd-$C164+1)/(PeriodEnd-PeriodStart+1))),MAX(0,MIN(1,((YEAR(PeriodEnd)-YEAR($C164))*12+MONTH(PeriodEnd)-MONTH($C164)+1-IF(DAY($C164)&gt;MonthCutDay,1,0))/PeriodMonths))))))</f>
        <v/>
      </c>
      <c r="U164" s="47" t="str">
        <f aca="false">IF($P164="","",$S164*$T164)</f>
        <v/>
      </c>
      <c r="V164" s="49" t="str">
        <f aca="false">IF($P164="","",IF(ISNUMBER($E164),$E164,0)*$R164)</f>
        <v/>
      </c>
      <c r="W164" s="49" t="str">
        <f aca="false">IF($P164="","",IF(ISNUMBER($E164),$E164,0)*$S164)</f>
        <v/>
      </c>
      <c r="X164" s="49" t="str">
        <f aca="false">IF($P164="","",IF(ISNUMBER($E164),$E164,0)*$U164)</f>
        <v/>
      </c>
      <c r="Y164" s="49" t="str">
        <f aca="false">IF($P164="","",IF(AND(CapAtMax="Yes",$P164="Y"),MAX(0,MIN($X164,$K164-$E164)),$X164))</f>
        <v/>
      </c>
      <c r="Z164" s="41" t="str">
        <f aca="false">IF(OR($P164="",NOT(ISNUMBER($E164))),"",$E164+$Y164)</f>
        <v/>
      </c>
      <c r="AA164" s="42" t="str">
        <f aca="false">IF(AND(ISNUMBER(Z164),ISNUMBER(J164)),IF(J164&gt;0,Z164/J164,""),"")</f>
        <v/>
      </c>
      <c r="AB164" s="46" t="str">
        <f aca="false">IF($P164="","",TRIM(IF(AND($P164="Y",ISNUMBER(K164),ISNUMBER(Z164)),IF(Z164&gt;K164,"Above range max. ",""),"")&amp;IF(AND($P164="Y",ISNUMBER($X164),ISNUMBER($Y164)),IF($X164-$Y164&gt;0.005,"Capped at range max. ",""),"")&amp;IF(AND(AND(ISNUMBER($G164),$G164&gt;=0,$G164&lt;=1),$H164=""),"Override needs a reason. ","")&amp;IF(AND(AND(ISNUMBER($G164),$G164&gt;=0,$G164&lt;=1),$P164&lt;&gt;"Y"),"Override ignored. ","")&amp;IF(AND($G164&lt;&gt;"",NOT(AND(ISNUMBER($G164),$G164&gt;=0,$G164&lt;=1))),"Override not valid, ignored. ","")&amp;IF(AND($A164&lt;&gt;"",COUNTIF($A$5:$A$254,$A164)&gt;1),"Duplicate ID. ","")))</f>
        <v/>
      </c>
    </row>
    <row r="165" customFormat="false" ht="15" hidden="false" customHeight="false" outlineLevel="0" collapsed="false">
      <c r="A165" s="18"/>
      <c r="B165" s="38"/>
      <c r="C165" s="39"/>
      <c r="D165" s="38"/>
      <c r="E165" s="19"/>
      <c r="F165" s="38"/>
      <c r="G165" s="40"/>
      <c r="H165" s="18"/>
      <c r="I165" s="41" t="str">
        <f aca="false">IF(COUNTA($A165:$F165)=0,"",IF($B165="","",IFERROR(INDEX(Ranges!$B$5:$B$16,MATCH($B165,Ranges!$A$5:$A$16,0)),"")))</f>
        <v/>
      </c>
      <c r="J165" s="41" t="str">
        <f aca="false">IF(COUNTA($A165:$F165)=0,"",IF($B165="","",IFERROR(INDEX(Ranges!$C$5:$C$16,MATCH($B165,Ranges!$A$5:$A$16,0)),"")))</f>
        <v/>
      </c>
      <c r="K165" s="41" t="str">
        <f aca="false">IF(COUNTA($A165:$F165)=0,"",IF($B165="","",IFERROR(INDEX(Ranges!$D$5:$D$16,MATCH($B165,Ranges!$A$5:$A$16,0)),"")))</f>
        <v/>
      </c>
      <c r="L165" s="42" t="str">
        <f aca="false">IF(OR(NOT(ISNUMBER($E165)),NOT(ISNUMBER(J165))),"",IF(J165&gt;0,$E165/J165,""))</f>
        <v/>
      </c>
      <c r="M165" s="43" t="str">
        <f aca="false">IF(OR(NOT(ISNUMBER($E165)),NOT(ISNUMBER(I165)),NOT(ISNUMBER(K165))),"",IF(K165&gt;I165,($E165-I165)/(K165-I165),""))</f>
        <v/>
      </c>
      <c r="N165" s="42" t="str">
        <f aca="false">IF(Basis="Compa-ratio",L165,M165)</f>
        <v/>
      </c>
      <c r="O165" s="44" t="str">
        <f aca="false">IF(ISNUMBER(N165),IFERROR(MATCH(N165,Matrix!$C$9:$G$9,1),1),"")</f>
        <v/>
      </c>
      <c r="P165" s="45" t="str">
        <f aca="false">IF(COUNTA($A165:$F165)=0,"",IF(Q165="","Y","N"))</f>
        <v/>
      </c>
      <c r="Q165" s="46" t="str">
        <f aca="false">IF(COUNTA($A165:$F165)=0,"",IF($A165="","ID missing",IF(TRIM($F165)="Exclude","Excluded by plan status",IF(AND(TRIM($F165)&lt;&gt;"",TRIM($F165)&lt;&gt;"Include"),"Plan status not valid (use Include or Exclude)",IF(NOT(ISNUMBER($C165)),"Hire date missing or not a date",IF($C165&gt;Cutoff,"Hired after cutoff",IF(NOT(ISNUMBER($E165)),"Salary missing or not a number",IF($E165&lt;=0,"Salary missing or not a number",IF(OR(NOT(ISNUMBER(I165)),NOT(ISNUMBER(J165)),NOT(ISNUMBER(K165))),"Grade not found in Ranges",IF($D165="","Rating missing",IF($D165="NR","Not rated (NR)",IF(NOT(ISNUMBER(MATCH($D165,Matrix!$A$14:$A$18,0))),"Rating not valid (use 1 to 5 or NR)",IF(NOT(ISNUMBER(O165)),"Band not found (check range and limits)","")))))))))))))</f>
        <v/>
      </c>
      <c r="R165" s="47" t="str">
        <f aca="false">IF($P165="Y",INDEX(Matrix!$C$14:$G$18,MATCH($D165,Matrix!$A$14:$A$18,0),$O165),IF($P165="N",0,""))</f>
        <v/>
      </c>
      <c r="S165" s="47" t="str">
        <f aca="false">IF($P165="Y",IF(AND(ISNUMBER($G165),$G165&gt;=0,$G165&lt;=1),$G165,$R165),IF($P165="N",0,""))</f>
        <v/>
      </c>
      <c r="T165" s="48" t="str">
        <f aca="false">IF($P165&lt;&gt;"Y",IF($P165="N",0,""),IF(ProrateMethod="None",1,IF($C165&lt;=PeriodStart,1,IF(ProrateMethod="Daily",MAX(0,MIN(1,(PeriodEnd-$C165+1)/(PeriodEnd-PeriodStart+1))),MAX(0,MIN(1,((YEAR(PeriodEnd)-YEAR($C165))*12+MONTH(PeriodEnd)-MONTH($C165)+1-IF(DAY($C165)&gt;MonthCutDay,1,0))/PeriodMonths))))))</f>
        <v/>
      </c>
      <c r="U165" s="47" t="str">
        <f aca="false">IF($P165="","",$S165*$T165)</f>
        <v/>
      </c>
      <c r="V165" s="49" t="str">
        <f aca="false">IF($P165="","",IF(ISNUMBER($E165),$E165,0)*$R165)</f>
        <v/>
      </c>
      <c r="W165" s="49" t="str">
        <f aca="false">IF($P165="","",IF(ISNUMBER($E165),$E165,0)*$S165)</f>
        <v/>
      </c>
      <c r="X165" s="49" t="str">
        <f aca="false">IF($P165="","",IF(ISNUMBER($E165),$E165,0)*$U165)</f>
        <v/>
      </c>
      <c r="Y165" s="49" t="str">
        <f aca="false">IF($P165="","",IF(AND(CapAtMax="Yes",$P165="Y"),MAX(0,MIN($X165,$K165-$E165)),$X165))</f>
        <v/>
      </c>
      <c r="Z165" s="41" t="str">
        <f aca="false">IF(OR($P165="",NOT(ISNUMBER($E165))),"",$E165+$Y165)</f>
        <v/>
      </c>
      <c r="AA165" s="42" t="str">
        <f aca="false">IF(AND(ISNUMBER(Z165),ISNUMBER(J165)),IF(J165&gt;0,Z165/J165,""),"")</f>
        <v/>
      </c>
      <c r="AB165" s="46" t="str">
        <f aca="false">IF($P165="","",TRIM(IF(AND($P165="Y",ISNUMBER(K165),ISNUMBER(Z165)),IF(Z165&gt;K165,"Above range max. ",""),"")&amp;IF(AND($P165="Y",ISNUMBER($X165),ISNUMBER($Y165)),IF($X165-$Y165&gt;0.005,"Capped at range max. ",""),"")&amp;IF(AND(AND(ISNUMBER($G165),$G165&gt;=0,$G165&lt;=1),$H165=""),"Override needs a reason. ","")&amp;IF(AND(AND(ISNUMBER($G165),$G165&gt;=0,$G165&lt;=1),$P165&lt;&gt;"Y"),"Override ignored. ","")&amp;IF(AND($G165&lt;&gt;"",NOT(AND(ISNUMBER($G165),$G165&gt;=0,$G165&lt;=1))),"Override not valid, ignored. ","")&amp;IF(AND($A165&lt;&gt;"",COUNTIF($A$5:$A$254,$A165)&gt;1),"Duplicate ID. ","")))</f>
        <v/>
      </c>
    </row>
    <row r="166" customFormat="false" ht="15" hidden="false" customHeight="false" outlineLevel="0" collapsed="false">
      <c r="A166" s="18"/>
      <c r="B166" s="38"/>
      <c r="C166" s="39"/>
      <c r="D166" s="38"/>
      <c r="E166" s="19"/>
      <c r="F166" s="38"/>
      <c r="G166" s="40"/>
      <c r="H166" s="18"/>
      <c r="I166" s="41" t="str">
        <f aca="false">IF(COUNTA($A166:$F166)=0,"",IF($B166="","",IFERROR(INDEX(Ranges!$B$5:$B$16,MATCH($B166,Ranges!$A$5:$A$16,0)),"")))</f>
        <v/>
      </c>
      <c r="J166" s="41" t="str">
        <f aca="false">IF(COUNTA($A166:$F166)=0,"",IF($B166="","",IFERROR(INDEX(Ranges!$C$5:$C$16,MATCH($B166,Ranges!$A$5:$A$16,0)),"")))</f>
        <v/>
      </c>
      <c r="K166" s="41" t="str">
        <f aca="false">IF(COUNTA($A166:$F166)=0,"",IF($B166="","",IFERROR(INDEX(Ranges!$D$5:$D$16,MATCH($B166,Ranges!$A$5:$A$16,0)),"")))</f>
        <v/>
      </c>
      <c r="L166" s="42" t="str">
        <f aca="false">IF(OR(NOT(ISNUMBER($E166)),NOT(ISNUMBER(J166))),"",IF(J166&gt;0,$E166/J166,""))</f>
        <v/>
      </c>
      <c r="M166" s="43" t="str">
        <f aca="false">IF(OR(NOT(ISNUMBER($E166)),NOT(ISNUMBER(I166)),NOT(ISNUMBER(K166))),"",IF(K166&gt;I166,($E166-I166)/(K166-I166),""))</f>
        <v/>
      </c>
      <c r="N166" s="42" t="str">
        <f aca="false">IF(Basis="Compa-ratio",L166,M166)</f>
        <v/>
      </c>
      <c r="O166" s="44" t="str">
        <f aca="false">IF(ISNUMBER(N166),IFERROR(MATCH(N166,Matrix!$C$9:$G$9,1),1),"")</f>
        <v/>
      </c>
      <c r="P166" s="45" t="str">
        <f aca="false">IF(COUNTA($A166:$F166)=0,"",IF(Q166="","Y","N"))</f>
        <v/>
      </c>
      <c r="Q166" s="46" t="str">
        <f aca="false">IF(COUNTA($A166:$F166)=0,"",IF($A166="","ID missing",IF(TRIM($F166)="Exclude","Excluded by plan status",IF(AND(TRIM($F166)&lt;&gt;"",TRIM($F166)&lt;&gt;"Include"),"Plan status not valid (use Include or Exclude)",IF(NOT(ISNUMBER($C166)),"Hire date missing or not a date",IF($C166&gt;Cutoff,"Hired after cutoff",IF(NOT(ISNUMBER($E166)),"Salary missing or not a number",IF($E166&lt;=0,"Salary missing or not a number",IF(OR(NOT(ISNUMBER(I166)),NOT(ISNUMBER(J166)),NOT(ISNUMBER(K166))),"Grade not found in Ranges",IF($D166="","Rating missing",IF($D166="NR","Not rated (NR)",IF(NOT(ISNUMBER(MATCH($D166,Matrix!$A$14:$A$18,0))),"Rating not valid (use 1 to 5 or NR)",IF(NOT(ISNUMBER(O166)),"Band not found (check range and limits)","")))))))))))))</f>
        <v/>
      </c>
      <c r="R166" s="47" t="str">
        <f aca="false">IF($P166="Y",INDEX(Matrix!$C$14:$G$18,MATCH($D166,Matrix!$A$14:$A$18,0),$O166),IF($P166="N",0,""))</f>
        <v/>
      </c>
      <c r="S166" s="47" t="str">
        <f aca="false">IF($P166="Y",IF(AND(ISNUMBER($G166),$G166&gt;=0,$G166&lt;=1),$G166,$R166),IF($P166="N",0,""))</f>
        <v/>
      </c>
      <c r="T166" s="48" t="str">
        <f aca="false">IF($P166&lt;&gt;"Y",IF($P166="N",0,""),IF(ProrateMethod="None",1,IF($C166&lt;=PeriodStart,1,IF(ProrateMethod="Daily",MAX(0,MIN(1,(PeriodEnd-$C166+1)/(PeriodEnd-PeriodStart+1))),MAX(0,MIN(1,((YEAR(PeriodEnd)-YEAR($C166))*12+MONTH(PeriodEnd)-MONTH($C166)+1-IF(DAY($C166)&gt;MonthCutDay,1,0))/PeriodMonths))))))</f>
        <v/>
      </c>
      <c r="U166" s="47" t="str">
        <f aca="false">IF($P166="","",$S166*$T166)</f>
        <v/>
      </c>
      <c r="V166" s="49" t="str">
        <f aca="false">IF($P166="","",IF(ISNUMBER($E166),$E166,0)*$R166)</f>
        <v/>
      </c>
      <c r="W166" s="49" t="str">
        <f aca="false">IF($P166="","",IF(ISNUMBER($E166),$E166,0)*$S166)</f>
        <v/>
      </c>
      <c r="X166" s="49" t="str">
        <f aca="false">IF($P166="","",IF(ISNUMBER($E166),$E166,0)*$U166)</f>
        <v/>
      </c>
      <c r="Y166" s="49" t="str">
        <f aca="false">IF($P166="","",IF(AND(CapAtMax="Yes",$P166="Y"),MAX(0,MIN($X166,$K166-$E166)),$X166))</f>
        <v/>
      </c>
      <c r="Z166" s="41" t="str">
        <f aca="false">IF(OR($P166="",NOT(ISNUMBER($E166))),"",$E166+$Y166)</f>
        <v/>
      </c>
      <c r="AA166" s="42" t="str">
        <f aca="false">IF(AND(ISNUMBER(Z166),ISNUMBER(J166)),IF(J166&gt;0,Z166/J166,""),"")</f>
        <v/>
      </c>
      <c r="AB166" s="46" t="str">
        <f aca="false">IF($P166="","",TRIM(IF(AND($P166="Y",ISNUMBER(K166),ISNUMBER(Z166)),IF(Z166&gt;K166,"Above range max. ",""),"")&amp;IF(AND($P166="Y",ISNUMBER($X166),ISNUMBER($Y166)),IF($X166-$Y166&gt;0.005,"Capped at range max. ",""),"")&amp;IF(AND(AND(ISNUMBER($G166),$G166&gt;=0,$G166&lt;=1),$H166=""),"Override needs a reason. ","")&amp;IF(AND(AND(ISNUMBER($G166),$G166&gt;=0,$G166&lt;=1),$P166&lt;&gt;"Y"),"Override ignored. ","")&amp;IF(AND($G166&lt;&gt;"",NOT(AND(ISNUMBER($G166),$G166&gt;=0,$G166&lt;=1))),"Override not valid, ignored. ","")&amp;IF(AND($A166&lt;&gt;"",COUNTIF($A$5:$A$254,$A166)&gt;1),"Duplicate ID. ","")))</f>
        <v/>
      </c>
    </row>
    <row r="167" customFormat="false" ht="15" hidden="false" customHeight="false" outlineLevel="0" collapsed="false">
      <c r="A167" s="18"/>
      <c r="B167" s="38"/>
      <c r="C167" s="39"/>
      <c r="D167" s="38"/>
      <c r="E167" s="19"/>
      <c r="F167" s="38"/>
      <c r="G167" s="40"/>
      <c r="H167" s="18"/>
      <c r="I167" s="41" t="str">
        <f aca="false">IF(COUNTA($A167:$F167)=0,"",IF($B167="","",IFERROR(INDEX(Ranges!$B$5:$B$16,MATCH($B167,Ranges!$A$5:$A$16,0)),"")))</f>
        <v/>
      </c>
      <c r="J167" s="41" t="str">
        <f aca="false">IF(COUNTA($A167:$F167)=0,"",IF($B167="","",IFERROR(INDEX(Ranges!$C$5:$C$16,MATCH($B167,Ranges!$A$5:$A$16,0)),"")))</f>
        <v/>
      </c>
      <c r="K167" s="41" t="str">
        <f aca="false">IF(COUNTA($A167:$F167)=0,"",IF($B167="","",IFERROR(INDEX(Ranges!$D$5:$D$16,MATCH($B167,Ranges!$A$5:$A$16,0)),"")))</f>
        <v/>
      </c>
      <c r="L167" s="42" t="str">
        <f aca="false">IF(OR(NOT(ISNUMBER($E167)),NOT(ISNUMBER(J167))),"",IF(J167&gt;0,$E167/J167,""))</f>
        <v/>
      </c>
      <c r="M167" s="43" t="str">
        <f aca="false">IF(OR(NOT(ISNUMBER($E167)),NOT(ISNUMBER(I167)),NOT(ISNUMBER(K167))),"",IF(K167&gt;I167,($E167-I167)/(K167-I167),""))</f>
        <v/>
      </c>
      <c r="N167" s="42" t="str">
        <f aca="false">IF(Basis="Compa-ratio",L167,M167)</f>
        <v/>
      </c>
      <c r="O167" s="44" t="str">
        <f aca="false">IF(ISNUMBER(N167),IFERROR(MATCH(N167,Matrix!$C$9:$G$9,1),1),"")</f>
        <v/>
      </c>
      <c r="P167" s="45" t="str">
        <f aca="false">IF(COUNTA($A167:$F167)=0,"",IF(Q167="","Y","N"))</f>
        <v/>
      </c>
      <c r="Q167" s="46" t="str">
        <f aca="false">IF(COUNTA($A167:$F167)=0,"",IF($A167="","ID missing",IF(TRIM($F167)="Exclude","Excluded by plan status",IF(AND(TRIM($F167)&lt;&gt;"",TRIM($F167)&lt;&gt;"Include"),"Plan status not valid (use Include or Exclude)",IF(NOT(ISNUMBER($C167)),"Hire date missing or not a date",IF($C167&gt;Cutoff,"Hired after cutoff",IF(NOT(ISNUMBER($E167)),"Salary missing or not a number",IF($E167&lt;=0,"Salary missing or not a number",IF(OR(NOT(ISNUMBER(I167)),NOT(ISNUMBER(J167)),NOT(ISNUMBER(K167))),"Grade not found in Ranges",IF($D167="","Rating missing",IF($D167="NR","Not rated (NR)",IF(NOT(ISNUMBER(MATCH($D167,Matrix!$A$14:$A$18,0))),"Rating not valid (use 1 to 5 or NR)",IF(NOT(ISNUMBER(O167)),"Band not found (check range and limits)","")))))))))))))</f>
        <v/>
      </c>
      <c r="R167" s="47" t="str">
        <f aca="false">IF($P167="Y",INDEX(Matrix!$C$14:$G$18,MATCH($D167,Matrix!$A$14:$A$18,0),$O167),IF($P167="N",0,""))</f>
        <v/>
      </c>
      <c r="S167" s="47" t="str">
        <f aca="false">IF($P167="Y",IF(AND(ISNUMBER($G167),$G167&gt;=0,$G167&lt;=1),$G167,$R167),IF($P167="N",0,""))</f>
        <v/>
      </c>
      <c r="T167" s="48" t="str">
        <f aca="false">IF($P167&lt;&gt;"Y",IF($P167="N",0,""),IF(ProrateMethod="None",1,IF($C167&lt;=PeriodStart,1,IF(ProrateMethod="Daily",MAX(0,MIN(1,(PeriodEnd-$C167+1)/(PeriodEnd-PeriodStart+1))),MAX(0,MIN(1,((YEAR(PeriodEnd)-YEAR($C167))*12+MONTH(PeriodEnd)-MONTH($C167)+1-IF(DAY($C167)&gt;MonthCutDay,1,0))/PeriodMonths))))))</f>
        <v/>
      </c>
      <c r="U167" s="47" t="str">
        <f aca="false">IF($P167="","",$S167*$T167)</f>
        <v/>
      </c>
      <c r="V167" s="49" t="str">
        <f aca="false">IF($P167="","",IF(ISNUMBER($E167),$E167,0)*$R167)</f>
        <v/>
      </c>
      <c r="W167" s="49" t="str">
        <f aca="false">IF($P167="","",IF(ISNUMBER($E167),$E167,0)*$S167)</f>
        <v/>
      </c>
      <c r="X167" s="49" t="str">
        <f aca="false">IF($P167="","",IF(ISNUMBER($E167),$E167,0)*$U167)</f>
        <v/>
      </c>
      <c r="Y167" s="49" t="str">
        <f aca="false">IF($P167="","",IF(AND(CapAtMax="Yes",$P167="Y"),MAX(0,MIN($X167,$K167-$E167)),$X167))</f>
        <v/>
      </c>
      <c r="Z167" s="41" t="str">
        <f aca="false">IF(OR($P167="",NOT(ISNUMBER($E167))),"",$E167+$Y167)</f>
        <v/>
      </c>
      <c r="AA167" s="42" t="str">
        <f aca="false">IF(AND(ISNUMBER(Z167),ISNUMBER(J167)),IF(J167&gt;0,Z167/J167,""),"")</f>
        <v/>
      </c>
      <c r="AB167" s="46" t="str">
        <f aca="false">IF($P167="","",TRIM(IF(AND($P167="Y",ISNUMBER(K167),ISNUMBER(Z167)),IF(Z167&gt;K167,"Above range max. ",""),"")&amp;IF(AND($P167="Y",ISNUMBER($X167),ISNUMBER($Y167)),IF($X167-$Y167&gt;0.005,"Capped at range max. ",""),"")&amp;IF(AND(AND(ISNUMBER($G167),$G167&gt;=0,$G167&lt;=1),$H167=""),"Override needs a reason. ","")&amp;IF(AND(AND(ISNUMBER($G167),$G167&gt;=0,$G167&lt;=1),$P167&lt;&gt;"Y"),"Override ignored. ","")&amp;IF(AND($G167&lt;&gt;"",NOT(AND(ISNUMBER($G167),$G167&gt;=0,$G167&lt;=1))),"Override not valid, ignored. ","")&amp;IF(AND($A167&lt;&gt;"",COUNTIF($A$5:$A$254,$A167)&gt;1),"Duplicate ID. ","")))</f>
        <v/>
      </c>
    </row>
    <row r="168" customFormat="false" ht="15" hidden="false" customHeight="false" outlineLevel="0" collapsed="false">
      <c r="A168" s="18"/>
      <c r="B168" s="38"/>
      <c r="C168" s="39"/>
      <c r="D168" s="38"/>
      <c r="E168" s="19"/>
      <c r="F168" s="38"/>
      <c r="G168" s="40"/>
      <c r="H168" s="18"/>
      <c r="I168" s="41" t="str">
        <f aca="false">IF(COUNTA($A168:$F168)=0,"",IF($B168="","",IFERROR(INDEX(Ranges!$B$5:$B$16,MATCH($B168,Ranges!$A$5:$A$16,0)),"")))</f>
        <v/>
      </c>
      <c r="J168" s="41" t="str">
        <f aca="false">IF(COUNTA($A168:$F168)=0,"",IF($B168="","",IFERROR(INDEX(Ranges!$C$5:$C$16,MATCH($B168,Ranges!$A$5:$A$16,0)),"")))</f>
        <v/>
      </c>
      <c r="K168" s="41" t="str">
        <f aca="false">IF(COUNTA($A168:$F168)=0,"",IF($B168="","",IFERROR(INDEX(Ranges!$D$5:$D$16,MATCH($B168,Ranges!$A$5:$A$16,0)),"")))</f>
        <v/>
      </c>
      <c r="L168" s="42" t="str">
        <f aca="false">IF(OR(NOT(ISNUMBER($E168)),NOT(ISNUMBER(J168))),"",IF(J168&gt;0,$E168/J168,""))</f>
        <v/>
      </c>
      <c r="M168" s="43" t="str">
        <f aca="false">IF(OR(NOT(ISNUMBER($E168)),NOT(ISNUMBER(I168)),NOT(ISNUMBER(K168))),"",IF(K168&gt;I168,($E168-I168)/(K168-I168),""))</f>
        <v/>
      </c>
      <c r="N168" s="42" t="str">
        <f aca="false">IF(Basis="Compa-ratio",L168,M168)</f>
        <v/>
      </c>
      <c r="O168" s="44" t="str">
        <f aca="false">IF(ISNUMBER(N168),IFERROR(MATCH(N168,Matrix!$C$9:$G$9,1),1),"")</f>
        <v/>
      </c>
      <c r="P168" s="45" t="str">
        <f aca="false">IF(COUNTA($A168:$F168)=0,"",IF(Q168="","Y","N"))</f>
        <v/>
      </c>
      <c r="Q168" s="46" t="str">
        <f aca="false">IF(COUNTA($A168:$F168)=0,"",IF($A168="","ID missing",IF(TRIM($F168)="Exclude","Excluded by plan status",IF(AND(TRIM($F168)&lt;&gt;"",TRIM($F168)&lt;&gt;"Include"),"Plan status not valid (use Include or Exclude)",IF(NOT(ISNUMBER($C168)),"Hire date missing or not a date",IF($C168&gt;Cutoff,"Hired after cutoff",IF(NOT(ISNUMBER($E168)),"Salary missing or not a number",IF($E168&lt;=0,"Salary missing or not a number",IF(OR(NOT(ISNUMBER(I168)),NOT(ISNUMBER(J168)),NOT(ISNUMBER(K168))),"Grade not found in Ranges",IF($D168="","Rating missing",IF($D168="NR","Not rated (NR)",IF(NOT(ISNUMBER(MATCH($D168,Matrix!$A$14:$A$18,0))),"Rating not valid (use 1 to 5 or NR)",IF(NOT(ISNUMBER(O168)),"Band not found (check range and limits)","")))))))))))))</f>
        <v/>
      </c>
      <c r="R168" s="47" t="str">
        <f aca="false">IF($P168="Y",INDEX(Matrix!$C$14:$G$18,MATCH($D168,Matrix!$A$14:$A$18,0),$O168),IF($P168="N",0,""))</f>
        <v/>
      </c>
      <c r="S168" s="47" t="str">
        <f aca="false">IF($P168="Y",IF(AND(ISNUMBER($G168),$G168&gt;=0,$G168&lt;=1),$G168,$R168),IF($P168="N",0,""))</f>
        <v/>
      </c>
      <c r="T168" s="48" t="str">
        <f aca="false">IF($P168&lt;&gt;"Y",IF($P168="N",0,""),IF(ProrateMethod="None",1,IF($C168&lt;=PeriodStart,1,IF(ProrateMethod="Daily",MAX(0,MIN(1,(PeriodEnd-$C168+1)/(PeriodEnd-PeriodStart+1))),MAX(0,MIN(1,((YEAR(PeriodEnd)-YEAR($C168))*12+MONTH(PeriodEnd)-MONTH($C168)+1-IF(DAY($C168)&gt;MonthCutDay,1,0))/PeriodMonths))))))</f>
        <v/>
      </c>
      <c r="U168" s="47" t="str">
        <f aca="false">IF($P168="","",$S168*$T168)</f>
        <v/>
      </c>
      <c r="V168" s="49" t="str">
        <f aca="false">IF($P168="","",IF(ISNUMBER($E168),$E168,0)*$R168)</f>
        <v/>
      </c>
      <c r="W168" s="49" t="str">
        <f aca="false">IF($P168="","",IF(ISNUMBER($E168),$E168,0)*$S168)</f>
        <v/>
      </c>
      <c r="X168" s="49" t="str">
        <f aca="false">IF($P168="","",IF(ISNUMBER($E168),$E168,0)*$U168)</f>
        <v/>
      </c>
      <c r="Y168" s="49" t="str">
        <f aca="false">IF($P168="","",IF(AND(CapAtMax="Yes",$P168="Y"),MAX(0,MIN($X168,$K168-$E168)),$X168))</f>
        <v/>
      </c>
      <c r="Z168" s="41" t="str">
        <f aca="false">IF(OR($P168="",NOT(ISNUMBER($E168))),"",$E168+$Y168)</f>
        <v/>
      </c>
      <c r="AA168" s="42" t="str">
        <f aca="false">IF(AND(ISNUMBER(Z168),ISNUMBER(J168)),IF(J168&gt;0,Z168/J168,""),"")</f>
        <v/>
      </c>
      <c r="AB168" s="46" t="str">
        <f aca="false">IF($P168="","",TRIM(IF(AND($P168="Y",ISNUMBER(K168),ISNUMBER(Z168)),IF(Z168&gt;K168,"Above range max. ",""),"")&amp;IF(AND($P168="Y",ISNUMBER($X168),ISNUMBER($Y168)),IF($X168-$Y168&gt;0.005,"Capped at range max. ",""),"")&amp;IF(AND(AND(ISNUMBER($G168),$G168&gt;=0,$G168&lt;=1),$H168=""),"Override needs a reason. ","")&amp;IF(AND(AND(ISNUMBER($G168),$G168&gt;=0,$G168&lt;=1),$P168&lt;&gt;"Y"),"Override ignored. ","")&amp;IF(AND($G168&lt;&gt;"",NOT(AND(ISNUMBER($G168),$G168&gt;=0,$G168&lt;=1))),"Override not valid, ignored. ","")&amp;IF(AND($A168&lt;&gt;"",COUNTIF($A$5:$A$254,$A168)&gt;1),"Duplicate ID. ","")))</f>
        <v/>
      </c>
    </row>
    <row r="169" customFormat="false" ht="15" hidden="false" customHeight="false" outlineLevel="0" collapsed="false">
      <c r="A169" s="18"/>
      <c r="B169" s="38"/>
      <c r="C169" s="39"/>
      <c r="D169" s="38"/>
      <c r="E169" s="19"/>
      <c r="F169" s="38"/>
      <c r="G169" s="40"/>
      <c r="H169" s="18"/>
      <c r="I169" s="41" t="str">
        <f aca="false">IF(COUNTA($A169:$F169)=0,"",IF($B169="","",IFERROR(INDEX(Ranges!$B$5:$B$16,MATCH($B169,Ranges!$A$5:$A$16,0)),"")))</f>
        <v/>
      </c>
      <c r="J169" s="41" t="str">
        <f aca="false">IF(COUNTA($A169:$F169)=0,"",IF($B169="","",IFERROR(INDEX(Ranges!$C$5:$C$16,MATCH($B169,Ranges!$A$5:$A$16,0)),"")))</f>
        <v/>
      </c>
      <c r="K169" s="41" t="str">
        <f aca="false">IF(COUNTA($A169:$F169)=0,"",IF($B169="","",IFERROR(INDEX(Ranges!$D$5:$D$16,MATCH($B169,Ranges!$A$5:$A$16,0)),"")))</f>
        <v/>
      </c>
      <c r="L169" s="42" t="str">
        <f aca="false">IF(OR(NOT(ISNUMBER($E169)),NOT(ISNUMBER(J169))),"",IF(J169&gt;0,$E169/J169,""))</f>
        <v/>
      </c>
      <c r="M169" s="43" t="str">
        <f aca="false">IF(OR(NOT(ISNUMBER($E169)),NOT(ISNUMBER(I169)),NOT(ISNUMBER(K169))),"",IF(K169&gt;I169,($E169-I169)/(K169-I169),""))</f>
        <v/>
      </c>
      <c r="N169" s="42" t="str">
        <f aca="false">IF(Basis="Compa-ratio",L169,M169)</f>
        <v/>
      </c>
      <c r="O169" s="44" t="str">
        <f aca="false">IF(ISNUMBER(N169),IFERROR(MATCH(N169,Matrix!$C$9:$G$9,1),1),"")</f>
        <v/>
      </c>
      <c r="P169" s="45" t="str">
        <f aca="false">IF(COUNTA($A169:$F169)=0,"",IF(Q169="","Y","N"))</f>
        <v/>
      </c>
      <c r="Q169" s="46" t="str">
        <f aca="false">IF(COUNTA($A169:$F169)=0,"",IF($A169="","ID missing",IF(TRIM($F169)="Exclude","Excluded by plan status",IF(AND(TRIM($F169)&lt;&gt;"",TRIM($F169)&lt;&gt;"Include"),"Plan status not valid (use Include or Exclude)",IF(NOT(ISNUMBER($C169)),"Hire date missing or not a date",IF($C169&gt;Cutoff,"Hired after cutoff",IF(NOT(ISNUMBER($E169)),"Salary missing or not a number",IF($E169&lt;=0,"Salary missing or not a number",IF(OR(NOT(ISNUMBER(I169)),NOT(ISNUMBER(J169)),NOT(ISNUMBER(K169))),"Grade not found in Ranges",IF($D169="","Rating missing",IF($D169="NR","Not rated (NR)",IF(NOT(ISNUMBER(MATCH($D169,Matrix!$A$14:$A$18,0))),"Rating not valid (use 1 to 5 or NR)",IF(NOT(ISNUMBER(O169)),"Band not found (check range and limits)","")))))))))))))</f>
        <v/>
      </c>
      <c r="R169" s="47" t="str">
        <f aca="false">IF($P169="Y",INDEX(Matrix!$C$14:$G$18,MATCH($D169,Matrix!$A$14:$A$18,0),$O169),IF($P169="N",0,""))</f>
        <v/>
      </c>
      <c r="S169" s="47" t="str">
        <f aca="false">IF($P169="Y",IF(AND(ISNUMBER($G169),$G169&gt;=0,$G169&lt;=1),$G169,$R169),IF($P169="N",0,""))</f>
        <v/>
      </c>
      <c r="T169" s="48" t="str">
        <f aca="false">IF($P169&lt;&gt;"Y",IF($P169="N",0,""),IF(ProrateMethod="None",1,IF($C169&lt;=PeriodStart,1,IF(ProrateMethod="Daily",MAX(0,MIN(1,(PeriodEnd-$C169+1)/(PeriodEnd-PeriodStart+1))),MAX(0,MIN(1,((YEAR(PeriodEnd)-YEAR($C169))*12+MONTH(PeriodEnd)-MONTH($C169)+1-IF(DAY($C169)&gt;MonthCutDay,1,0))/PeriodMonths))))))</f>
        <v/>
      </c>
      <c r="U169" s="47" t="str">
        <f aca="false">IF($P169="","",$S169*$T169)</f>
        <v/>
      </c>
      <c r="V169" s="49" t="str">
        <f aca="false">IF($P169="","",IF(ISNUMBER($E169),$E169,0)*$R169)</f>
        <v/>
      </c>
      <c r="W169" s="49" t="str">
        <f aca="false">IF($P169="","",IF(ISNUMBER($E169),$E169,0)*$S169)</f>
        <v/>
      </c>
      <c r="X169" s="49" t="str">
        <f aca="false">IF($P169="","",IF(ISNUMBER($E169),$E169,0)*$U169)</f>
        <v/>
      </c>
      <c r="Y169" s="49" t="str">
        <f aca="false">IF($P169="","",IF(AND(CapAtMax="Yes",$P169="Y"),MAX(0,MIN($X169,$K169-$E169)),$X169))</f>
        <v/>
      </c>
      <c r="Z169" s="41" t="str">
        <f aca="false">IF(OR($P169="",NOT(ISNUMBER($E169))),"",$E169+$Y169)</f>
        <v/>
      </c>
      <c r="AA169" s="42" t="str">
        <f aca="false">IF(AND(ISNUMBER(Z169),ISNUMBER(J169)),IF(J169&gt;0,Z169/J169,""),"")</f>
        <v/>
      </c>
      <c r="AB169" s="46" t="str">
        <f aca="false">IF($P169="","",TRIM(IF(AND($P169="Y",ISNUMBER(K169),ISNUMBER(Z169)),IF(Z169&gt;K169,"Above range max. ",""),"")&amp;IF(AND($P169="Y",ISNUMBER($X169),ISNUMBER($Y169)),IF($X169-$Y169&gt;0.005,"Capped at range max. ",""),"")&amp;IF(AND(AND(ISNUMBER($G169),$G169&gt;=0,$G169&lt;=1),$H169=""),"Override needs a reason. ","")&amp;IF(AND(AND(ISNUMBER($G169),$G169&gt;=0,$G169&lt;=1),$P169&lt;&gt;"Y"),"Override ignored. ","")&amp;IF(AND($G169&lt;&gt;"",NOT(AND(ISNUMBER($G169),$G169&gt;=0,$G169&lt;=1))),"Override not valid, ignored. ","")&amp;IF(AND($A169&lt;&gt;"",COUNTIF($A$5:$A$254,$A169)&gt;1),"Duplicate ID. ","")))</f>
        <v/>
      </c>
    </row>
    <row r="170" customFormat="false" ht="15" hidden="false" customHeight="false" outlineLevel="0" collapsed="false">
      <c r="A170" s="18"/>
      <c r="B170" s="38"/>
      <c r="C170" s="39"/>
      <c r="D170" s="38"/>
      <c r="E170" s="19"/>
      <c r="F170" s="38"/>
      <c r="G170" s="40"/>
      <c r="H170" s="18"/>
      <c r="I170" s="41" t="str">
        <f aca="false">IF(COUNTA($A170:$F170)=0,"",IF($B170="","",IFERROR(INDEX(Ranges!$B$5:$B$16,MATCH($B170,Ranges!$A$5:$A$16,0)),"")))</f>
        <v/>
      </c>
      <c r="J170" s="41" t="str">
        <f aca="false">IF(COUNTA($A170:$F170)=0,"",IF($B170="","",IFERROR(INDEX(Ranges!$C$5:$C$16,MATCH($B170,Ranges!$A$5:$A$16,0)),"")))</f>
        <v/>
      </c>
      <c r="K170" s="41" t="str">
        <f aca="false">IF(COUNTA($A170:$F170)=0,"",IF($B170="","",IFERROR(INDEX(Ranges!$D$5:$D$16,MATCH($B170,Ranges!$A$5:$A$16,0)),"")))</f>
        <v/>
      </c>
      <c r="L170" s="42" t="str">
        <f aca="false">IF(OR(NOT(ISNUMBER($E170)),NOT(ISNUMBER(J170))),"",IF(J170&gt;0,$E170/J170,""))</f>
        <v/>
      </c>
      <c r="M170" s="43" t="str">
        <f aca="false">IF(OR(NOT(ISNUMBER($E170)),NOT(ISNUMBER(I170)),NOT(ISNUMBER(K170))),"",IF(K170&gt;I170,($E170-I170)/(K170-I170),""))</f>
        <v/>
      </c>
      <c r="N170" s="42" t="str">
        <f aca="false">IF(Basis="Compa-ratio",L170,M170)</f>
        <v/>
      </c>
      <c r="O170" s="44" t="str">
        <f aca="false">IF(ISNUMBER(N170),IFERROR(MATCH(N170,Matrix!$C$9:$G$9,1),1),"")</f>
        <v/>
      </c>
      <c r="P170" s="45" t="str">
        <f aca="false">IF(COUNTA($A170:$F170)=0,"",IF(Q170="","Y","N"))</f>
        <v/>
      </c>
      <c r="Q170" s="46" t="str">
        <f aca="false">IF(COUNTA($A170:$F170)=0,"",IF($A170="","ID missing",IF(TRIM($F170)="Exclude","Excluded by plan status",IF(AND(TRIM($F170)&lt;&gt;"",TRIM($F170)&lt;&gt;"Include"),"Plan status not valid (use Include or Exclude)",IF(NOT(ISNUMBER($C170)),"Hire date missing or not a date",IF($C170&gt;Cutoff,"Hired after cutoff",IF(NOT(ISNUMBER($E170)),"Salary missing or not a number",IF($E170&lt;=0,"Salary missing or not a number",IF(OR(NOT(ISNUMBER(I170)),NOT(ISNUMBER(J170)),NOT(ISNUMBER(K170))),"Grade not found in Ranges",IF($D170="","Rating missing",IF($D170="NR","Not rated (NR)",IF(NOT(ISNUMBER(MATCH($D170,Matrix!$A$14:$A$18,0))),"Rating not valid (use 1 to 5 or NR)",IF(NOT(ISNUMBER(O170)),"Band not found (check range and limits)","")))))))))))))</f>
        <v/>
      </c>
      <c r="R170" s="47" t="str">
        <f aca="false">IF($P170="Y",INDEX(Matrix!$C$14:$G$18,MATCH($D170,Matrix!$A$14:$A$18,0),$O170),IF($P170="N",0,""))</f>
        <v/>
      </c>
      <c r="S170" s="47" t="str">
        <f aca="false">IF($P170="Y",IF(AND(ISNUMBER($G170),$G170&gt;=0,$G170&lt;=1),$G170,$R170),IF($P170="N",0,""))</f>
        <v/>
      </c>
      <c r="T170" s="48" t="str">
        <f aca="false">IF($P170&lt;&gt;"Y",IF($P170="N",0,""),IF(ProrateMethod="None",1,IF($C170&lt;=PeriodStart,1,IF(ProrateMethod="Daily",MAX(0,MIN(1,(PeriodEnd-$C170+1)/(PeriodEnd-PeriodStart+1))),MAX(0,MIN(1,((YEAR(PeriodEnd)-YEAR($C170))*12+MONTH(PeriodEnd)-MONTH($C170)+1-IF(DAY($C170)&gt;MonthCutDay,1,0))/PeriodMonths))))))</f>
        <v/>
      </c>
      <c r="U170" s="47" t="str">
        <f aca="false">IF($P170="","",$S170*$T170)</f>
        <v/>
      </c>
      <c r="V170" s="49" t="str">
        <f aca="false">IF($P170="","",IF(ISNUMBER($E170),$E170,0)*$R170)</f>
        <v/>
      </c>
      <c r="W170" s="49" t="str">
        <f aca="false">IF($P170="","",IF(ISNUMBER($E170),$E170,0)*$S170)</f>
        <v/>
      </c>
      <c r="X170" s="49" t="str">
        <f aca="false">IF($P170="","",IF(ISNUMBER($E170),$E170,0)*$U170)</f>
        <v/>
      </c>
      <c r="Y170" s="49" t="str">
        <f aca="false">IF($P170="","",IF(AND(CapAtMax="Yes",$P170="Y"),MAX(0,MIN($X170,$K170-$E170)),$X170))</f>
        <v/>
      </c>
      <c r="Z170" s="41" t="str">
        <f aca="false">IF(OR($P170="",NOT(ISNUMBER($E170))),"",$E170+$Y170)</f>
        <v/>
      </c>
      <c r="AA170" s="42" t="str">
        <f aca="false">IF(AND(ISNUMBER(Z170),ISNUMBER(J170)),IF(J170&gt;0,Z170/J170,""),"")</f>
        <v/>
      </c>
      <c r="AB170" s="46" t="str">
        <f aca="false">IF($P170="","",TRIM(IF(AND($P170="Y",ISNUMBER(K170),ISNUMBER(Z170)),IF(Z170&gt;K170,"Above range max. ",""),"")&amp;IF(AND($P170="Y",ISNUMBER($X170),ISNUMBER($Y170)),IF($X170-$Y170&gt;0.005,"Capped at range max. ",""),"")&amp;IF(AND(AND(ISNUMBER($G170),$G170&gt;=0,$G170&lt;=1),$H170=""),"Override needs a reason. ","")&amp;IF(AND(AND(ISNUMBER($G170),$G170&gt;=0,$G170&lt;=1),$P170&lt;&gt;"Y"),"Override ignored. ","")&amp;IF(AND($G170&lt;&gt;"",NOT(AND(ISNUMBER($G170),$G170&gt;=0,$G170&lt;=1))),"Override not valid, ignored. ","")&amp;IF(AND($A170&lt;&gt;"",COUNTIF($A$5:$A$254,$A170)&gt;1),"Duplicate ID. ","")))</f>
        <v/>
      </c>
    </row>
    <row r="171" customFormat="false" ht="15" hidden="false" customHeight="false" outlineLevel="0" collapsed="false">
      <c r="A171" s="18"/>
      <c r="B171" s="38"/>
      <c r="C171" s="39"/>
      <c r="D171" s="38"/>
      <c r="E171" s="19"/>
      <c r="F171" s="38"/>
      <c r="G171" s="40"/>
      <c r="H171" s="18"/>
      <c r="I171" s="41" t="str">
        <f aca="false">IF(COUNTA($A171:$F171)=0,"",IF($B171="","",IFERROR(INDEX(Ranges!$B$5:$B$16,MATCH($B171,Ranges!$A$5:$A$16,0)),"")))</f>
        <v/>
      </c>
      <c r="J171" s="41" t="str">
        <f aca="false">IF(COUNTA($A171:$F171)=0,"",IF($B171="","",IFERROR(INDEX(Ranges!$C$5:$C$16,MATCH($B171,Ranges!$A$5:$A$16,0)),"")))</f>
        <v/>
      </c>
      <c r="K171" s="41" t="str">
        <f aca="false">IF(COUNTA($A171:$F171)=0,"",IF($B171="","",IFERROR(INDEX(Ranges!$D$5:$D$16,MATCH($B171,Ranges!$A$5:$A$16,0)),"")))</f>
        <v/>
      </c>
      <c r="L171" s="42" t="str">
        <f aca="false">IF(OR(NOT(ISNUMBER($E171)),NOT(ISNUMBER(J171))),"",IF(J171&gt;0,$E171/J171,""))</f>
        <v/>
      </c>
      <c r="M171" s="43" t="str">
        <f aca="false">IF(OR(NOT(ISNUMBER($E171)),NOT(ISNUMBER(I171)),NOT(ISNUMBER(K171))),"",IF(K171&gt;I171,($E171-I171)/(K171-I171),""))</f>
        <v/>
      </c>
      <c r="N171" s="42" t="str">
        <f aca="false">IF(Basis="Compa-ratio",L171,M171)</f>
        <v/>
      </c>
      <c r="O171" s="44" t="str">
        <f aca="false">IF(ISNUMBER(N171),IFERROR(MATCH(N171,Matrix!$C$9:$G$9,1),1),"")</f>
        <v/>
      </c>
      <c r="P171" s="45" t="str">
        <f aca="false">IF(COUNTA($A171:$F171)=0,"",IF(Q171="","Y","N"))</f>
        <v/>
      </c>
      <c r="Q171" s="46" t="str">
        <f aca="false">IF(COUNTA($A171:$F171)=0,"",IF($A171="","ID missing",IF(TRIM($F171)="Exclude","Excluded by plan status",IF(AND(TRIM($F171)&lt;&gt;"",TRIM($F171)&lt;&gt;"Include"),"Plan status not valid (use Include or Exclude)",IF(NOT(ISNUMBER($C171)),"Hire date missing or not a date",IF($C171&gt;Cutoff,"Hired after cutoff",IF(NOT(ISNUMBER($E171)),"Salary missing or not a number",IF($E171&lt;=0,"Salary missing or not a number",IF(OR(NOT(ISNUMBER(I171)),NOT(ISNUMBER(J171)),NOT(ISNUMBER(K171))),"Grade not found in Ranges",IF($D171="","Rating missing",IF($D171="NR","Not rated (NR)",IF(NOT(ISNUMBER(MATCH($D171,Matrix!$A$14:$A$18,0))),"Rating not valid (use 1 to 5 or NR)",IF(NOT(ISNUMBER(O171)),"Band not found (check range and limits)","")))))))))))))</f>
        <v/>
      </c>
      <c r="R171" s="47" t="str">
        <f aca="false">IF($P171="Y",INDEX(Matrix!$C$14:$G$18,MATCH($D171,Matrix!$A$14:$A$18,0),$O171),IF($P171="N",0,""))</f>
        <v/>
      </c>
      <c r="S171" s="47" t="str">
        <f aca="false">IF($P171="Y",IF(AND(ISNUMBER($G171),$G171&gt;=0,$G171&lt;=1),$G171,$R171),IF($P171="N",0,""))</f>
        <v/>
      </c>
      <c r="T171" s="48" t="str">
        <f aca="false">IF($P171&lt;&gt;"Y",IF($P171="N",0,""),IF(ProrateMethod="None",1,IF($C171&lt;=PeriodStart,1,IF(ProrateMethod="Daily",MAX(0,MIN(1,(PeriodEnd-$C171+1)/(PeriodEnd-PeriodStart+1))),MAX(0,MIN(1,((YEAR(PeriodEnd)-YEAR($C171))*12+MONTH(PeriodEnd)-MONTH($C171)+1-IF(DAY($C171)&gt;MonthCutDay,1,0))/PeriodMonths))))))</f>
        <v/>
      </c>
      <c r="U171" s="47" t="str">
        <f aca="false">IF($P171="","",$S171*$T171)</f>
        <v/>
      </c>
      <c r="V171" s="49" t="str">
        <f aca="false">IF($P171="","",IF(ISNUMBER($E171),$E171,0)*$R171)</f>
        <v/>
      </c>
      <c r="W171" s="49" t="str">
        <f aca="false">IF($P171="","",IF(ISNUMBER($E171),$E171,0)*$S171)</f>
        <v/>
      </c>
      <c r="X171" s="49" t="str">
        <f aca="false">IF($P171="","",IF(ISNUMBER($E171),$E171,0)*$U171)</f>
        <v/>
      </c>
      <c r="Y171" s="49" t="str">
        <f aca="false">IF($P171="","",IF(AND(CapAtMax="Yes",$P171="Y"),MAX(0,MIN($X171,$K171-$E171)),$X171))</f>
        <v/>
      </c>
      <c r="Z171" s="41" t="str">
        <f aca="false">IF(OR($P171="",NOT(ISNUMBER($E171))),"",$E171+$Y171)</f>
        <v/>
      </c>
      <c r="AA171" s="42" t="str">
        <f aca="false">IF(AND(ISNUMBER(Z171),ISNUMBER(J171)),IF(J171&gt;0,Z171/J171,""),"")</f>
        <v/>
      </c>
      <c r="AB171" s="46" t="str">
        <f aca="false">IF($P171="","",TRIM(IF(AND($P171="Y",ISNUMBER(K171),ISNUMBER(Z171)),IF(Z171&gt;K171,"Above range max. ",""),"")&amp;IF(AND($P171="Y",ISNUMBER($X171),ISNUMBER($Y171)),IF($X171-$Y171&gt;0.005,"Capped at range max. ",""),"")&amp;IF(AND(AND(ISNUMBER($G171),$G171&gt;=0,$G171&lt;=1),$H171=""),"Override needs a reason. ","")&amp;IF(AND(AND(ISNUMBER($G171),$G171&gt;=0,$G171&lt;=1),$P171&lt;&gt;"Y"),"Override ignored. ","")&amp;IF(AND($G171&lt;&gt;"",NOT(AND(ISNUMBER($G171),$G171&gt;=0,$G171&lt;=1))),"Override not valid, ignored. ","")&amp;IF(AND($A171&lt;&gt;"",COUNTIF($A$5:$A$254,$A171)&gt;1),"Duplicate ID. ","")))</f>
        <v/>
      </c>
    </row>
    <row r="172" customFormat="false" ht="15" hidden="false" customHeight="false" outlineLevel="0" collapsed="false">
      <c r="A172" s="18"/>
      <c r="B172" s="38"/>
      <c r="C172" s="39"/>
      <c r="D172" s="38"/>
      <c r="E172" s="19"/>
      <c r="F172" s="38"/>
      <c r="G172" s="40"/>
      <c r="H172" s="18"/>
      <c r="I172" s="41" t="str">
        <f aca="false">IF(COUNTA($A172:$F172)=0,"",IF($B172="","",IFERROR(INDEX(Ranges!$B$5:$B$16,MATCH($B172,Ranges!$A$5:$A$16,0)),"")))</f>
        <v/>
      </c>
      <c r="J172" s="41" t="str">
        <f aca="false">IF(COUNTA($A172:$F172)=0,"",IF($B172="","",IFERROR(INDEX(Ranges!$C$5:$C$16,MATCH($B172,Ranges!$A$5:$A$16,0)),"")))</f>
        <v/>
      </c>
      <c r="K172" s="41" t="str">
        <f aca="false">IF(COUNTA($A172:$F172)=0,"",IF($B172="","",IFERROR(INDEX(Ranges!$D$5:$D$16,MATCH($B172,Ranges!$A$5:$A$16,0)),"")))</f>
        <v/>
      </c>
      <c r="L172" s="42" t="str">
        <f aca="false">IF(OR(NOT(ISNUMBER($E172)),NOT(ISNUMBER(J172))),"",IF(J172&gt;0,$E172/J172,""))</f>
        <v/>
      </c>
      <c r="M172" s="43" t="str">
        <f aca="false">IF(OR(NOT(ISNUMBER($E172)),NOT(ISNUMBER(I172)),NOT(ISNUMBER(K172))),"",IF(K172&gt;I172,($E172-I172)/(K172-I172),""))</f>
        <v/>
      </c>
      <c r="N172" s="42" t="str">
        <f aca="false">IF(Basis="Compa-ratio",L172,M172)</f>
        <v/>
      </c>
      <c r="O172" s="44" t="str">
        <f aca="false">IF(ISNUMBER(N172),IFERROR(MATCH(N172,Matrix!$C$9:$G$9,1),1),"")</f>
        <v/>
      </c>
      <c r="P172" s="45" t="str">
        <f aca="false">IF(COUNTA($A172:$F172)=0,"",IF(Q172="","Y","N"))</f>
        <v/>
      </c>
      <c r="Q172" s="46" t="str">
        <f aca="false">IF(COUNTA($A172:$F172)=0,"",IF($A172="","ID missing",IF(TRIM($F172)="Exclude","Excluded by plan status",IF(AND(TRIM($F172)&lt;&gt;"",TRIM($F172)&lt;&gt;"Include"),"Plan status not valid (use Include or Exclude)",IF(NOT(ISNUMBER($C172)),"Hire date missing or not a date",IF($C172&gt;Cutoff,"Hired after cutoff",IF(NOT(ISNUMBER($E172)),"Salary missing or not a number",IF($E172&lt;=0,"Salary missing or not a number",IF(OR(NOT(ISNUMBER(I172)),NOT(ISNUMBER(J172)),NOT(ISNUMBER(K172))),"Grade not found in Ranges",IF($D172="","Rating missing",IF($D172="NR","Not rated (NR)",IF(NOT(ISNUMBER(MATCH($D172,Matrix!$A$14:$A$18,0))),"Rating not valid (use 1 to 5 or NR)",IF(NOT(ISNUMBER(O172)),"Band not found (check range and limits)","")))))))))))))</f>
        <v/>
      </c>
      <c r="R172" s="47" t="str">
        <f aca="false">IF($P172="Y",INDEX(Matrix!$C$14:$G$18,MATCH($D172,Matrix!$A$14:$A$18,0),$O172),IF($P172="N",0,""))</f>
        <v/>
      </c>
      <c r="S172" s="47" t="str">
        <f aca="false">IF($P172="Y",IF(AND(ISNUMBER($G172),$G172&gt;=0,$G172&lt;=1),$G172,$R172),IF($P172="N",0,""))</f>
        <v/>
      </c>
      <c r="T172" s="48" t="str">
        <f aca="false">IF($P172&lt;&gt;"Y",IF($P172="N",0,""),IF(ProrateMethod="None",1,IF($C172&lt;=PeriodStart,1,IF(ProrateMethod="Daily",MAX(0,MIN(1,(PeriodEnd-$C172+1)/(PeriodEnd-PeriodStart+1))),MAX(0,MIN(1,((YEAR(PeriodEnd)-YEAR($C172))*12+MONTH(PeriodEnd)-MONTH($C172)+1-IF(DAY($C172)&gt;MonthCutDay,1,0))/PeriodMonths))))))</f>
        <v/>
      </c>
      <c r="U172" s="47" t="str">
        <f aca="false">IF($P172="","",$S172*$T172)</f>
        <v/>
      </c>
      <c r="V172" s="49" t="str">
        <f aca="false">IF($P172="","",IF(ISNUMBER($E172),$E172,0)*$R172)</f>
        <v/>
      </c>
      <c r="W172" s="49" t="str">
        <f aca="false">IF($P172="","",IF(ISNUMBER($E172),$E172,0)*$S172)</f>
        <v/>
      </c>
      <c r="X172" s="49" t="str">
        <f aca="false">IF($P172="","",IF(ISNUMBER($E172),$E172,0)*$U172)</f>
        <v/>
      </c>
      <c r="Y172" s="49" t="str">
        <f aca="false">IF($P172="","",IF(AND(CapAtMax="Yes",$P172="Y"),MAX(0,MIN($X172,$K172-$E172)),$X172))</f>
        <v/>
      </c>
      <c r="Z172" s="41" t="str">
        <f aca="false">IF(OR($P172="",NOT(ISNUMBER($E172))),"",$E172+$Y172)</f>
        <v/>
      </c>
      <c r="AA172" s="42" t="str">
        <f aca="false">IF(AND(ISNUMBER(Z172),ISNUMBER(J172)),IF(J172&gt;0,Z172/J172,""),"")</f>
        <v/>
      </c>
      <c r="AB172" s="46" t="str">
        <f aca="false">IF($P172="","",TRIM(IF(AND($P172="Y",ISNUMBER(K172),ISNUMBER(Z172)),IF(Z172&gt;K172,"Above range max. ",""),"")&amp;IF(AND($P172="Y",ISNUMBER($X172),ISNUMBER($Y172)),IF($X172-$Y172&gt;0.005,"Capped at range max. ",""),"")&amp;IF(AND(AND(ISNUMBER($G172),$G172&gt;=0,$G172&lt;=1),$H172=""),"Override needs a reason. ","")&amp;IF(AND(AND(ISNUMBER($G172),$G172&gt;=0,$G172&lt;=1),$P172&lt;&gt;"Y"),"Override ignored. ","")&amp;IF(AND($G172&lt;&gt;"",NOT(AND(ISNUMBER($G172),$G172&gt;=0,$G172&lt;=1))),"Override not valid, ignored. ","")&amp;IF(AND($A172&lt;&gt;"",COUNTIF($A$5:$A$254,$A172)&gt;1),"Duplicate ID. ","")))</f>
        <v/>
      </c>
    </row>
    <row r="173" customFormat="false" ht="15" hidden="false" customHeight="false" outlineLevel="0" collapsed="false">
      <c r="A173" s="18"/>
      <c r="B173" s="38"/>
      <c r="C173" s="39"/>
      <c r="D173" s="38"/>
      <c r="E173" s="19"/>
      <c r="F173" s="38"/>
      <c r="G173" s="40"/>
      <c r="H173" s="18"/>
      <c r="I173" s="41" t="str">
        <f aca="false">IF(COUNTA($A173:$F173)=0,"",IF($B173="","",IFERROR(INDEX(Ranges!$B$5:$B$16,MATCH($B173,Ranges!$A$5:$A$16,0)),"")))</f>
        <v/>
      </c>
      <c r="J173" s="41" t="str">
        <f aca="false">IF(COUNTA($A173:$F173)=0,"",IF($B173="","",IFERROR(INDEX(Ranges!$C$5:$C$16,MATCH($B173,Ranges!$A$5:$A$16,0)),"")))</f>
        <v/>
      </c>
      <c r="K173" s="41" t="str">
        <f aca="false">IF(COUNTA($A173:$F173)=0,"",IF($B173="","",IFERROR(INDEX(Ranges!$D$5:$D$16,MATCH($B173,Ranges!$A$5:$A$16,0)),"")))</f>
        <v/>
      </c>
      <c r="L173" s="42" t="str">
        <f aca="false">IF(OR(NOT(ISNUMBER($E173)),NOT(ISNUMBER(J173))),"",IF(J173&gt;0,$E173/J173,""))</f>
        <v/>
      </c>
      <c r="M173" s="43" t="str">
        <f aca="false">IF(OR(NOT(ISNUMBER($E173)),NOT(ISNUMBER(I173)),NOT(ISNUMBER(K173))),"",IF(K173&gt;I173,($E173-I173)/(K173-I173),""))</f>
        <v/>
      </c>
      <c r="N173" s="42" t="str">
        <f aca="false">IF(Basis="Compa-ratio",L173,M173)</f>
        <v/>
      </c>
      <c r="O173" s="44" t="str">
        <f aca="false">IF(ISNUMBER(N173),IFERROR(MATCH(N173,Matrix!$C$9:$G$9,1),1),"")</f>
        <v/>
      </c>
      <c r="P173" s="45" t="str">
        <f aca="false">IF(COUNTA($A173:$F173)=0,"",IF(Q173="","Y","N"))</f>
        <v/>
      </c>
      <c r="Q173" s="46" t="str">
        <f aca="false">IF(COUNTA($A173:$F173)=0,"",IF($A173="","ID missing",IF(TRIM($F173)="Exclude","Excluded by plan status",IF(AND(TRIM($F173)&lt;&gt;"",TRIM($F173)&lt;&gt;"Include"),"Plan status not valid (use Include or Exclude)",IF(NOT(ISNUMBER($C173)),"Hire date missing or not a date",IF($C173&gt;Cutoff,"Hired after cutoff",IF(NOT(ISNUMBER($E173)),"Salary missing or not a number",IF($E173&lt;=0,"Salary missing or not a number",IF(OR(NOT(ISNUMBER(I173)),NOT(ISNUMBER(J173)),NOT(ISNUMBER(K173))),"Grade not found in Ranges",IF($D173="","Rating missing",IF($D173="NR","Not rated (NR)",IF(NOT(ISNUMBER(MATCH($D173,Matrix!$A$14:$A$18,0))),"Rating not valid (use 1 to 5 or NR)",IF(NOT(ISNUMBER(O173)),"Band not found (check range and limits)","")))))))))))))</f>
        <v/>
      </c>
      <c r="R173" s="47" t="str">
        <f aca="false">IF($P173="Y",INDEX(Matrix!$C$14:$G$18,MATCH($D173,Matrix!$A$14:$A$18,0),$O173),IF($P173="N",0,""))</f>
        <v/>
      </c>
      <c r="S173" s="47" t="str">
        <f aca="false">IF($P173="Y",IF(AND(ISNUMBER($G173),$G173&gt;=0,$G173&lt;=1),$G173,$R173),IF($P173="N",0,""))</f>
        <v/>
      </c>
      <c r="T173" s="48" t="str">
        <f aca="false">IF($P173&lt;&gt;"Y",IF($P173="N",0,""),IF(ProrateMethod="None",1,IF($C173&lt;=PeriodStart,1,IF(ProrateMethod="Daily",MAX(0,MIN(1,(PeriodEnd-$C173+1)/(PeriodEnd-PeriodStart+1))),MAX(0,MIN(1,((YEAR(PeriodEnd)-YEAR($C173))*12+MONTH(PeriodEnd)-MONTH($C173)+1-IF(DAY($C173)&gt;MonthCutDay,1,0))/PeriodMonths))))))</f>
        <v/>
      </c>
      <c r="U173" s="47" t="str">
        <f aca="false">IF($P173="","",$S173*$T173)</f>
        <v/>
      </c>
      <c r="V173" s="49" t="str">
        <f aca="false">IF($P173="","",IF(ISNUMBER($E173),$E173,0)*$R173)</f>
        <v/>
      </c>
      <c r="W173" s="49" t="str">
        <f aca="false">IF($P173="","",IF(ISNUMBER($E173),$E173,0)*$S173)</f>
        <v/>
      </c>
      <c r="X173" s="49" t="str">
        <f aca="false">IF($P173="","",IF(ISNUMBER($E173),$E173,0)*$U173)</f>
        <v/>
      </c>
      <c r="Y173" s="49" t="str">
        <f aca="false">IF($P173="","",IF(AND(CapAtMax="Yes",$P173="Y"),MAX(0,MIN($X173,$K173-$E173)),$X173))</f>
        <v/>
      </c>
      <c r="Z173" s="41" t="str">
        <f aca="false">IF(OR($P173="",NOT(ISNUMBER($E173))),"",$E173+$Y173)</f>
        <v/>
      </c>
      <c r="AA173" s="42" t="str">
        <f aca="false">IF(AND(ISNUMBER(Z173),ISNUMBER(J173)),IF(J173&gt;0,Z173/J173,""),"")</f>
        <v/>
      </c>
      <c r="AB173" s="46" t="str">
        <f aca="false">IF($P173="","",TRIM(IF(AND($P173="Y",ISNUMBER(K173),ISNUMBER(Z173)),IF(Z173&gt;K173,"Above range max. ",""),"")&amp;IF(AND($P173="Y",ISNUMBER($X173),ISNUMBER($Y173)),IF($X173-$Y173&gt;0.005,"Capped at range max. ",""),"")&amp;IF(AND(AND(ISNUMBER($G173),$G173&gt;=0,$G173&lt;=1),$H173=""),"Override needs a reason. ","")&amp;IF(AND(AND(ISNUMBER($G173),$G173&gt;=0,$G173&lt;=1),$P173&lt;&gt;"Y"),"Override ignored. ","")&amp;IF(AND($G173&lt;&gt;"",NOT(AND(ISNUMBER($G173),$G173&gt;=0,$G173&lt;=1))),"Override not valid, ignored. ","")&amp;IF(AND($A173&lt;&gt;"",COUNTIF($A$5:$A$254,$A173)&gt;1),"Duplicate ID. ","")))</f>
        <v/>
      </c>
    </row>
    <row r="174" customFormat="false" ht="15" hidden="false" customHeight="false" outlineLevel="0" collapsed="false">
      <c r="A174" s="18"/>
      <c r="B174" s="38"/>
      <c r="C174" s="39"/>
      <c r="D174" s="38"/>
      <c r="E174" s="19"/>
      <c r="F174" s="38"/>
      <c r="G174" s="40"/>
      <c r="H174" s="18"/>
      <c r="I174" s="41" t="str">
        <f aca="false">IF(COUNTA($A174:$F174)=0,"",IF($B174="","",IFERROR(INDEX(Ranges!$B$5:$B$16,MATCH($B174,Ranges!$A$5:$A$16,0)),"")))</f>
        <v/>
      </c>
      <c r="J174" s="41" t="str">
        <f aca="false">IF(COUNTA($A174:$F174)=0,"",IF($B174="","",IFERROR(INDEX(Ranges!$C$5:$C$16,MATCH($B174,Ranges!$A$5:$A$16,0)),"")))</f>
        <v/>
      </c>
      <c r="K174" s="41" t="str">
        <f aca="false">IF(COUNTA($A174:$F174)=0,"",IF($B174="","",IFERROR(INDEX(Ranges!$D$5:$D$16,MATCH($B174,Ranges!$A$5:$A$16,0)),"")))</f>
        <v/>
      </c>
      <c r="L174" s="42" t="str">
        <f aca="false">IF(OR(NOT(ISNUMBER($E174)),NOT(ISNUMBER(J174))),"",IF(J174&gt;0,$E174/J174,""))</f>
        <v/>
      </c>
      <c r="M174" s="43" t="str">
        <f aca="false">IF(OR(NOT(ISNUMBER($E174)),NOT(ISNUMBER(I174)),NOT(ISNUMBER(K174))),"",IF(K174&gt;I174,($E174-I174)/(K174-I174),""))</f>
        <v/>
      </c>
      <c r="N174" s="42" t="str">
        <f aca="false">IF(Basis="Compa-ratio",L174,M174)</f>
        <v/>
      </c>
      <c r="O174" s="44" t="str">
        <f aca="false">IF(ISNUMBER(N174),IFERROR(MATCH(N174,Matrix!$C$9:$G$9,1),1),"")</f>
        <v/>
      </c>
      <c r="P174" s="45" t="str">
        <f aca="false">IF(COUNTA($A174:$F174)=0,"",IF(Q174="","Y","N"))</f>
        <v/>
      </c>
      <c r="Q174" s="46" t="str">
        <f aca="false">IF(COUNTA($A174:$F174)=0,"",IF($A174="","ID missing",IF(TRIM($F174)="Exclude","Excluded by plan status",IF(AND(TRIM($F174)&lt;&gt;"",TRIM($F174)&lt;&gt;"Include"),"Plan status not valid (use Include or Exclude)",IF(NOT(ISNUMBER($C174)),"Hire date missing or not a date",IF($C174&gt;Cutoff,"Hired after cutoff",IF(NOT(ISNUMBER($E174)),"Salary missing or not a number",IF($E174&lt;=0,"Salary missing or not a number",IF(OR(NOT(ISNUMBER(I174)),NOT(ISNUMBER(J174)),NOT(ISNUMBER(K174))),"Grade not found in Ranges",IF($D174="","Rating missing",IF($D174="NR","Not rated (NR)",IF(NOT(ISNUMBER(MATCH($D174,Matrix!$A$14:$A$18,0))),"Rating not valid (use 1 to 5 or NR)",IF(NOT(ISNUMBER(O174)),"Band not found (check range and limits)","")))))))))))))</f>
        <v/>
      </c>
      <c r="R174" s="47" t="str">
        <f aca="false">IF($P174="Y",INDEX(Matrix!$C$14:$G$18,MATCH($D174,Matrix!$A$14:$A$18,0),$O174),IF($P174="N",0,""))</f>
        <v/>
      </c>
      <c r="S174" s="47" t="str">
        <f aca="false">IF($P174="Y",IF(AND(ISNUMBER($G174),$G174&gt;=0,$G174&lt;=1),$G174,$R174),IF($P174="N",0,""))</f>
        <v/>
      </c>
      <c r="T174" s="48" t="str">
        <f aca="false">IF($P174&lt;&gt;"Y",IF($P174="N",0,""),IF(ProrateMethod="None",1,IF($C174&lt;=PeriodStart,1,IF(ProrateMethod="Daily",MAX(0,MIN(1,(PeriodEnd-$C174+1)/(PeriodEnd-PeriodStart+1))),MAX(0,MIN(1,((YEAR(PeriodEnd)-YEAR($C174))*12+MONTH(PeriodEnd)-MONTH($C174)+1-IF(DAY($C174)&gt;MonthCutDay,1,0))/PeriodMonths))))))</f>
        <v/>
      </c>
      <c r="U174" s="47" t="str">
        <f aca="false">IF($P174="","",$S174*$T174)</f>
        <v/>
      </c>
      <c r="V174" s="49" t="str">
        <f aca="false">IF($P174="","",IF(ISNUMBER($E174),$E174,0)*$R174)</f>
        <v/>
      </c>
      <c r="W174" s="49" t="str">
        <f aca="false">IF($P174="","",IF(ISNUMBER($E174),$E174,0)*$S174)</f>
        <v/>
      </c>
      <c r="X174" s="49" t="str">
        <f aca="false">IF($P174="","",IF(ISNUMBER($E174),$E174,0)*$U174)</f>
        <v/>
      </c>
      <c r="Y174" s="49" t="str">
        <f aca="false">IF($P174="","",IF(AND(CapAtMax="Yes",$P174="Y"),MAX(0,MIN($X174,$K174-$E174)),$X174))</f>
        <v/>
      </c>
      <c r="Z174" s="41" t="str">
        <f aca="false">IF(OR($P174="",NOT(ISNUMBER($E174))),"",$E174+$Y174)</f>
        <v/>
      </c>
      <c r="AA174" s="42" t="str">
        <f aca="false">IF(AND(ISNUMBER(Z174),ISNUMBER(J174)),IF(J174&gt;0,Z174/J174,""),"")</f>
        <v/>
      </c>
      <c r="AB174" s="46" t="str">
        <f aca="false">IF($P174="","",TRIM(IF(AND($P174="Y",ISNUMBER(K174),ISNUMBER(Z174)),IF(Z174&gt;K174,"Above range max. ",""),"")&amp;IF(AND($P174="Y",ISNUMBER($X174),ISNUMBER($Y174)),IF($X174-$Y174&gt;0.005,"Capped at range max. ",""),"")&amp;IF(AND(AND(ISNUMBER($G174),$G174&gt;=0,$G174&lt;=1),$H174=""),"Override needs a reason. ","")&amp;IF(AND(AND(ISNUMBER($G174),$G174&gt;=0,$G174&lt;=1),$P174&lt;&gt;"Y"),"Override ignored. ","")&amp;IF(AND($G174&lt;&gt;"",NOT(AND(ISNUMBER($G174),$G174&gt;=0,$G174&lt;=1))),"Override not valid, ignored. ","")&amp;IF(AND($A174&lt;&gt;"",COUNTIF($A$5:$A$254,$A174)&gt;1),"Duplicate ID. ","")))</f>
        <v/>
      </c>
    </row>
    <row r="175" customFormat="false" ht="15" hidden="false" customHeight="false" outlineLevel="0" collapsed="false">
      <c r="A175" s="18"/>
      <c r="B175" s="38"/>
      <c r="C175" s="39"/>
      <c r="D175" s="38"/>
      <c r="E175" s="19"/>
      <c r="F175" s="38"/>
      <c r="G175" s="40"/>
      <c r="H175" s="18"/>
      <c r="I175" s="41" t="str">
        <f aca="false">IF(COUNTA($A175:$F175)=0,"",IF($B175="","",IFERROR(INDEX(Ranges!$B$5:$B$16,MATCH($B175,Ranges!$A$5:$A$16,0)),"")))</f>
        <v/>
      </c>
      <c r="J175" s="41" t="str">
        <f aca="false">IF(COUNTA($A175:$F175)=0,"",IF($B175="","",IFERROR(INDEX(Ranges!$C$5:$C$16,MATCH($B175,Ranges!$A$5:$A$16,0)),"")))</f>
        <v/>
      </c>
      <c r="K175" s="41" t="str">
        <f aca="false">IF(COUNTA($A175:$F175)=0,"",IF($B175="","",IFERROR(INDEX(Ranges!$D$5:$D$16,MATCH($B175,Ranges!$A$5:$A$16,0)),"")))</f>
        <v/>
      </c>
      <c r="L175" s="42" t="str">
        <f aca="false">IF(OR(NOT(ISNUMBER($E175)),NOT(ISNUMBER(J175))),"",IF(J175&gt;0,$E175/J175,""))</f>
        <v/>
      </c>
      <c r="M175" s="43" t="str">
        <f aca="false">IF(OR(NOT(ISNUMBER($E175)),NOT(ISNUMBER(I175)),NOT(ISNUMBER(K175))),"",IF(K175&gt;I175,($E175-I175)/(K175-I175),""))</f>
        <v/>
      </c>
      <c r="N175" s="42" t="str">
        <f aca="false">IF(Basis="Compa-ratio",L175,M175)</f>
        <v/>
      </c>
      <c r="O175" s="44" t="str">
        <f aca="false">IF(ISNUMBER(N175),IFERROR(MATCH(N175,Matrix!$C$9:$G$9,1),1),"")</f>
        <v/>
      </c>
      <c r="P175" s="45" t="str">
        <f aca="false">IF(COUNTA($A175:$F175)=0,"",IF(Q175="","Y","N"))</f>
        <v/>
      </c>
      <c r="Q175" s="46" t="str">
        <f aca="false">IF(COUNTA($A175:$F175)=0,"",IF($A175="","ID missing",IF(TRIM($F175)="Exclude","Excluded by plan status",IF(AND(TRIM($F175)&lt;&gt;"",TRIM($F175)&lt;&gt;"Include"),"Plan status not valid (use Include or Exclude)",IF(NOT(ISNUMBER($C175)),"Hire date missing or not a date",IF($C175&gt;Cutoff,"Hired after cutoff",IF(NOT(ISNUMBER($E175)),"Salary missing or not a number",IF($E175&lt;=0,"Salary missing or not a number",IF(OR(NOT(ISNUMBER(I175)),NOT(ISNUMBER(J175)),NOT(ISNUMBER(K175))),"Grade not found in Ranges",IF($D175="","Rating missing",IF($D175="NR","Not rated (NR)",IF(NOT(ISNUMBER(MATCH($D175,Matrix!$A$14:$A$18,0))),"Rating not valid (use 1 to 5 or NR)",IF(NOT(ISNUMBER(O175)),"Band not found (check range and limits)","")))))))))))))</f>
        <v/>
      </c>
      <c r="R175" s="47" t="str">
        <f aca="false">IF($P175="Y",INDEX(Matrix!$C$14:$G$18,MATCH($D175,Matrix!$A$14:$A$18,0),$O175),IF($P175="N",0,""))</f>
        <v/>
      </c>
      <c r="S175" s="47" t="str">
        <f aca="false">IF($P175="Y",IF(AND(ISNUMBER($G175),$G175&gt;=0,$G175&lt;=1),$G175,$R175),IF($P175="N",0,""))</f>
        <v/>
      </c>
      <c r="T175" s="48" t="str">
        <f aca="false">IF($P175&lt;&gt;"Y",IF($P175="N",0,""),IF(ProrateMethod="None",1,IF($C175&lt;=PeriodStart,1,IF(ProrateMethod="Daily",MAX(0,MIN(1,(PeriodEnd-$C175+1)/(PeriodEnd-PeriodStart+1))),MAX(0,MIN(1,((YEAR(PeriodEnd)-YEAR($C175))*12+MONTH(PeriodEnd)-MONTH($C175)+1-IF(DAY($C175)&gt;MonthCutDay,1,0))/PeriodMonths))))))</f>
        <v/>
      </c>
      <c r="U175" s="47" t="str">
        <f aca="false">IF($P175="","",$S175*$T175)</f>
        <v/>
      </c>
      <c r="V175" s="49" t="str">
        <f aca="false">IF($P175="","",IF(ISNUMBER($E175),$E175,0)*$R175)</f>
        <v/>
      </c>
      <c r="W175" s="49" t="str">
        <f aca="false">IF($P175="","",IF(ISNUMBER($E175),$E175,0)*$S175)</f>
        <v/>
      </c>
      <c r="X175" s="49" t="str">
        <f aca="false">IF($P175="","",IF(ISNUMBER($E175),$E175,0)*$U175)</f>
        <v/>
      </c>
      <c r="Y175" s="49" t="str">
        <f aca="false">IF($P175="","",IF(AND(CapAtMax="Yes",$P175="Y"),MAX(0,MIN($X175,$K175-$E175)),$X175))</f>
        <v/>
      </c>
      <c r="Z175" s="41" t="str">
        <f aca="false">IF(OR($P175="",NOT(ISNUMBER($E175))),"",$E175+$Y175)</f>
        <v/>
      </c>
      <c r="AA175" s="42" t="str">
        <f aca="false">IF(AND(ISNUMBER(Z175),ISNUMBER(J175)),IF(J175&gt;0,Z175/J175,""),"")</f>
        <v/>
      </c>
      <c r="AB175" s="46" t="str">
        <f aca="false">IF($P175="","",TRIM(IF(AND($P175="Y",ISNUMBER(K175),ISNUMBER(Z175)),IF(Z175&gt;K175,"Above range max. ",""),"")&amp;IF(AND($P175="Y",ISNUMBER($X175),ISNUMBER($Y175)),IF($X175-$Y175&gt;0.005,"Capped at range max. ",""),"")&amp;IF(AND(AND(ISNUMBER($G175),$G175&gt;=0,$G175&lt;=1),$H175=""),"Override needs a reason. ","")&amp;IF(AND(AND(ISNUMBER($G175),$G175&gt;=0,$G175&lt;=1),$P175&lt;&gt;"Y"),"Override ignored. ","")&amp;IF(AND($G175&lt;&gt;"",NOT(AND(ISNUMBER($G175),$G175&gt;=0,$G175&lt;=1))),"Override not valid, ignored. ","")&amp;IF(AND($A175&lt;&gt;"",COUNTIF($A$5:$A$254,$A175)&gt;1),"Duplicate ID. ","")))</f>
        <v/>
      </c>
    </row>
    <row r="176" customFormat="false" ht="15" hidden="false" customHeight="false" outlineLevel="0" collapsed="false">
      <c r="A176" s="18"/>
      <c r="B176" s="38"/>
      <c r="C176" s="39"/>
      <c r="D176" s="38"/>
      <c r="E176" s="19"/>
      <c r="F176" s="38"/>
      <c r="G176" s="40"/>
      <c r="H176" s="18"/>
      <c r="I176" s="41" t="str">
        <f aca="false">IF(COUNTA($A176:$F176)=0,"",IF($B176="","",IFERROR(INDEX(Ranges!$B$5:$B$16,MATCH($B176,Ranges!$A$5:$A$16,0)),"")))</f>
        <v/>
      </c>
      <c r="J176" s="41" t="str">
        <f aca="false">IF(COUNTA($A176:$F176)=0,"",IF($B176="","",IFERROR(INDEX(Ranges!$C$5:$C$16,MATCH($B176,Ranges!$A$5:$A$16,0)),"")))</f>
        <v/>
      </c>
      <c r="K176" s="41" t="str">
        <f aca="false">IF(COUNTA($A176:$F176)=0,"",IF($B176="","",IFERROR(INDEX(Ranges!$D$5:$D$16,MATCH($B176,Ranges!$A$5:$A$16,0)),"")))</f>
        <v/>
      </c>
      <c r="L176" s="42" t="str">
        <f aca="false">IF(OR(NOT(ISNUMBER($E176)),NOT(ISNUMBER(J176))),"",IF(J176&gt;0,$E176/J176,""))</f>
        <v/>
      </c>
      <c r="M176" s="43" t="str">
        <f aca="false">IF(OR(NOT(ISNUMBER($E176)),NOT(ISNUMBER(I176)),NOT(ISNUMBER(K176))),"",IF(K176&gt;I176,($E176-I176)/(K176-I176),""))</f>
        <v/>
      </c>
      <c r="N176" s="42" t="str">
        <f aca="false">IF(Basis="Compa-ratio",L176,M176)</f>
        <v/>
      </c>
      <c r="O176" s="44" t="str">
        <f aca="false">IF(ISNUMBER(N176),IFERROR(MATCH(N176,Matrix!$C$9:$G$9,1),1),"")</f>
        <v/>
      </c>
      <c r="P176" s="45" t="str">
        <f aca="false">IF(COUNTA($A176:$F176)=0,"",IF(Q176="","Y","N"))</f>
        <v/>
      </c>
      <c r="Q176" s="46" t="str">
        <f aca="false">IF(COUNTA($A176:$F176)=0,"",IF($A176="","ID missing",IF(TRIM($F176)="Exclude","Excluded by plan status",IF(AND(TRIM($F176)&lt;&gt;"",TRIM($F176)&lt;&gt;"Include"),"Plan status not valid (use Include or Exclude)",IF(NOT(ISNUMBER($C176)),"Hire date missing or not a date",IF($C176&gt;Cutoff,"Hired after cutoff",IF(NOT(ISNUMBER($E176)),"Salary missing or not a number",IF($E176&lt;=0,"Salary missing or not a number",IF(OR(NOT(ISNUMBER(I176)),NOT(ISNUMBER(J176)),NOT(ISNUMBER(K176))),"Grade not found in Ranges",IF($D176="","Rating missing",IF($D176="NR","Not rated (NR)",IF(NOT(ISNUMBER(MATCH($D176,Matrix!$A$14:$A$18,0))),"Rating not valid (use 1 to 5 or NR)",IF(NOT(ISNUMBER(O176)),"Band not found (check range and limits)","")))))))))))))</f>
        <v/>
      </c>
      <c r="R176" s="47" t="str">
        <f aca="false">IF($P176="Y",INDEX(Matrix!$C$14:$G$18,MATCH($D176,Matrix!$A$14:$A$18,0),$O176),IF($P176="N",0,""))</f>
        <v/>
      </c>
      <c r="S176" s="47" t="str">
        <f aca="false">IF($P176="Y",IF(AND(ISNUMBER($G176),$G176&gt;=0,$G176&lt;=1),$G176,$R176),IF($P176="N",0,""))</f>
        <v/>
      </c>
      <c r="T176" s="48" t="str">
        <f aca="false">IF($P176&lt;&gt;"Y",IF($P176="N",0,""),IF(ProrateMethod="None",1,IF($C176&lt;=PeriodStart,1,IF(ProrateMethod="Daily",MAX(0,MIN(1,(PeriodEnd-$C176+1)/(PeriodEnd-PeriodStart+1))),MAX(0,MIN(1,((YEAR(PeriodEnd)-YEAR($C176))*12+MONTH(PeriodEnd)-MONTH($C176)+1-IF(DAY($C176)&gt;MonthCutDay,1,0))/PeriodMonths))))))</f>
        <v/>
      </c>
      <c r="U176" s="47" t="str">
        <f aca="false">IF($P176="","",$S176*$T176)</f>
        <v/>
      </c>
      <c r="V176" s="49" t="str">
        <f aca="false">IF($P176="","",IF(ISNUMBER($E176),$E176,0)*$R176)</f>
        <v/>
      </c>
      <c r="W176" s="49" t="str">
        <f aca="false">IF($P176="","",IF(ISNUMBER($E176),$E176,0)*$S176)</f>
        <v/>
      </c>
      <c r="X176" s="49" t="str">
        <f aca="false">IF($P176="","",IF(ISNUMBER($E176),$E176,0)*$U176)</f>
        <v/>
      </c>
      <c r="Y176" s="49" t="str">
        <f aca="false">IF($P176="","",IF(AND(CapAtMax="Yes",$P176="Y"),MAX(0,MIN($X176,$K176-$E176)),$X176))</f>
        <v/>
      </c>
      <c r="Z176" s="41" t="str">
        <f aca="false">IF(OR($P176="",NOT(ISNUMBER($E176))),"",$E176+$Y176)</f>
        <v/>
      </c>
      <c r="AA176" s="42" t="str">
        <f aca="false">IF(AND(ISNUMBER(Z176),ISNUMBER(J176)),IF(J176&gt;0,Z176/J176,""),"")</f>
        <v/>
      </c>
      <c r="AB176" s="46" t="str">
        <f aca="false">IF($P176="","",TRIM(IF(AND($P176="Y",ISNUMBER(K176),ISNUMBER(Z176)),IF(Z176&gt;K176,"Above range max. ",""),"")&amp;IF(AND($P176="Y",ISNUMBER($X176),ISNUMBER($Y176)),IF($X176-$Y176&gt;0.005,"Capped at range max. ",""),"")&amp;IF(AND(AND(ISNUMBER($G176),$G176&gt;=0,$G176&lt;=1),$H176=""),"Override needs a reason. ","")&amp;IF(AND(AND(ISNUMBER($G176),$G176&gt;=0,$G176&lt;=1),$P176&lt;&gt;"Y"),"Override ignored. ","")&amp;IF(AND($G176&lt;&gt;"",NOT(AND(ISNUMBER($G176),$G176&gt;=0,$G176&lt;=1))),"Override not valid, ignored. ","")&amp;IF(AND($A176&lt;&gt;"",COUNTIF($A$5:$A$254,$A176)&gt;1),"Duplicate ID. ","")))</f>
        <v/>
      </c>
    </row>
    <row r="177" customFormat="false" ht="15" hidden="false" customHeight="false" outlineLevel="0" collapsed="false">
      <c r="A177" s="18"/>
      <c r="B177" s="38"/>
      <c r="C177" s="39"/>
      <c r="D177" s="38"/>
      <c r="E177" s="19"/>
      <c r="F177" s="38"/>
      <c r="G177" s="40"/>
      <c r="H177" s="18"/>
      <c r="I177" s="41" t="str">
        <f aca="false">IF(COUNTA($A177:$F177)=0,"",IF($B177="","",IFERROR(INDEX(Ranges!$B$5:$B$16,MATCH($B177,Ranges!$A$5:$A$16,0)),"")))</f>
        <v/>
      </c>
      <c r="J177" s="41" t="str">
        <f aca="false">IF(COUNTA($A177:$F177)=0,"",IF($B177="","",IFERROR(INDEX(Ranges!$C$5:$C$16,MATCH($B177,Ranges!$A$5:$A$16,0)),"")))</f>
        <v/>
      </c>
      <c r="K177" s="41" t="str">
        <f aca="false">IF(COUNTA($A177:$F177)=0,"",IF($B177="","",IFERROR(INDEX(Ranges!$D$5:$D$16,MATCH($B177,Ranges!$A$5:$A$16,0)),"")))</f>
        <v/>
      </c>
      <c r="L177" s="42" t="str">
        <f aca="false">IF(OR(NOT(ISNUMBER($E177)),NOT(ISNUMBER(J177))),"",IF(J177&gt;0,$E177/J177,""))</f>
        <v/>
      </c>
      <c r="M177" s="43" t="str">
        <f aca="false">IF(OR(NOT(ISNUMBER($E177)),NOT(ISNUMBER(I177)),NOT(ISNUMBER(K177))),"",IF(K177&gt;I177,($E177-I177)/(K177-I177),""))</f>
        <v/>
      </c>
      <c r="N177" s="42" t="str">
        <f aca="false">IF(Basis="Compa-ratio",L177,M177)</f>
        <v/>
      </c>
      <c r="O177" s="44" t="str">
        <f aca="false">IF(ISNUMBER(N177),IFERROR(MATCH(N177,Matrix!$C$9:$G$9,1),1),"")</f>
        <v/>
      </c>
      <c r="P177" s="45" t="str">
        <f aca="false">IF(COUNTA($A177:$F177)=0,"",IF(Q177="","Y","N"))</f>
        <v/>
      </c>
      <c r="Q177" s="46" t="str">
        <f aca="false">IF(COUNTA($A177:$F177)=0,"",IF($A177="","ID missing",IF(TRIM($F177)="Exclude","Excluded by plan status",IF(AND(TRIM($F177)&lt;&gt;"",TRIM($F177)&lt;&gt;"Include"),"Plan status not valid (use Include or Exclude)",IF(NOT(ISNUMBER($C177)),"Hire date missing or not a date",IF($C177&gt;Cutoff,"Hired after cutoff",IF(NOT(ISNUMBER($E177)),"Salary missing or not a number",IF($E177&lt;=0,"Salary missing or not a number",IF(OR(NOT(ISNUMBER(I177)),NOT(ISNUMBER(J177)),NOT(ISNUMBER(K177))),"Grade not found in Ranges",IF($D177="","Rating missing",IF($D177="NR","Not rated (NR)",IF(NOT(ISNUMBER(MATCH($D177,Matrix!$A$14:$A$18,0))),"Rating not valid (use 1 to 5 or NR)",IF(NOT(ISNUMBER(O177)),"Band not found (check range and limits)","")))))))))))))</f>
        <v/>
      </c>
      <c r="R177" s="47" t="str">
        <f aca="false">IF($P177="Y",INDEX(Matrix!$C$14:$G$18,MATCH($D177,Matrix!$A$14:$A$18,0),$O177),IF($P177="N",0,""))</f>
        <v/>
      </c>
      <c r="S177" s="47" t="str">
        <f aca="false">IF($P177="Y",IF(AND(ISNUMBER($G177),$G177&gt;=0,$G177&lt;=1),$G177,$R177),IF($P177="N",0,""))</f>
        <v/>
      </c>
      <c r="T177" s="48" t="str">
        <f aca="false">IF($P177&lt;&gt;"Y",IF($P177="N",0,""),IF(ProrateMethod="None",1,IF($C177&lt;=PeriodStart,1,IF(ProrateMethod="Daily",MAX(0,MIN(1,(PeriodEnd-$C177+1)/(PeriodEnd-PeriodStart+1))),MAX(0,MIN(1,((YEAR(PeriodEnd)-YEAR($C177))*12+MONTH(PeriodEnd)-MONTH($C177)+1-IF(DAY($C177)&gt;MonthCutDay,1,0))/PeriodMonths))))))</f>
        <v/>
      </c>
      <c r="U177" s="47" t="str">
        <f aca="false">IF($P177="","",$S177*$T177)</f>
        <v/>
      </c>
      <c r="V177" s="49" t="str">
        <f aca="false">IF($P177="","",IF(ISNUMBER($E177),$E177,0)*$R177)</f>
        <v/>
      </c>
      <c r="W177" s="49" t="str">
        <f aca="false">IF($P177="","",IF(ISNUMBER($E177),$E177,0)*$S177)</f>
        <v/>
      </c>
      <c r="X177" s="49" t="str">
        <f aca="false">IF($P177="","",IF(ISNUMBER($E177),$E177,0)*$U177)</f>
        <v/>
      </c>
      <c r="Y177" s="49" t="str">
        <f aca="false">IF($P177="","",IF(AND(CapAtMax="Yes",$P177="Y"),MAX(0,MIN($X177,$K177-$E177)),$X177))</f>
        <v/>
      </c>
      <c r="Z177" s="41" t="str">
        <f aca="false">IF(OR($P177="",NOT(ISNUMBER($E177))),"",$E177+$Y177)</f>
        <v/>
      </c>
      <c r="AA177" s="42" t="str">
        <f aca="false">IF(AND(ISNUMBER(Z177),ISNUMBER(J177)),IF(J177&gt;0,Z177/J177,""),"")</f>
        <v/>
      </c>
      <c r="AB177" s="46" t="str">
        <f aca="false">IF($P177="","",TRIM(IF(AND($P177="Y",ISNUMBER(K177),ISNUMBER(Z177)),IF(Z177&gt;K177,"Above range max. ",""),"")&amp;IF(AND($P177="Y",ISNUMBER($X177),ISNUMBER($Y177)),IF($X177-$Y177&gt;0.005,"Capped at range max. ",""),"")&amp;IF(AND(AND(ISNUMBER($G177),$G177&gt;=0,$G177&lt;=1),$H177=""),"Override needs a reason. ","")&amp;IF(AND(AND(ISNUMBER($G177),$G177&gt;=0,$G177&lt;=1),$P177&lt;&gt;"Y"),"Override ignored. ","")&amp;IF(AND($G177&lt;&gt;"",NOT(AND(ISNUMBER($G177),$G177&gt;=0,$G177&lt;=1))),"Override not valid, ignored. ","")&amp;IF(AND($A177&lt;&gt;"",COUNTIF($A$5:$A$254,$A177)&gt;1),"Duplicate ID. ","")))</f>
        <v/>
      </c>
    </row>
    <row r="178" customFormat="false" ht="15" hidden="false" customHeight="false" outlineLevel="0" collapsed="false">
      <c r="A178" s="18"/>
      <c r="B178" s="38"/>
      <c r="C178" s="39"/>
      <c r="D178" s="38"/>
      <c r="E178" s="19"/>
      <c r="F178" s="38"/>
      <c r="G178" s="40"/>
      <c r="H178" s="18"/>
      <c r="I178" s="41" t="str">
        <f aca="false">IF(COUNTA($A178:$F178)=0,"",IF($B178="","",IFERROR(INDEX(Ranges!$B$5:$B$16,MATCH($B178,Ranges!$A$5:$A$16,0)),"")))</f>
        <v/>
      </c>
      <c r="J178" s="41" t="str">
        <f aca="false">IF(COUNTA($A178:$F178)=0,"",IF($B178="","",IFERROR(INDEX(Ranges!$C$5:$C$16,MATCH($B178,Ranges!$A$5:$A$16,0)),"")))</f>
        <v/>
      </c>
      <c r="K178" s="41" t="str">
        <f aca="false">IF(COUNTA($A178:$F178)=0,"",IF($B178="","",IFERROR(INDEX(Ranges!$D$5:$D$16,MATCH($B178,Ranges!$A$5:$A$16,0)),"")))</f>
        <v/>
      </c>
      <c r="L178" s="42" t="str">
        <f aca="false">IF(OR(NOT(ISNUMBER($E178)),NOT(ISNUMBER(J178))),"",IF(J178&gt;0,$E178/J178,""))</f>
        <v/>
      </c>
      <c r="M178" s="43" t="str">
        <f aca="false">IF(OR(NOT(ISNUMBER($E178)),NOT(ISNUMBER(I178)),NOT(ISNUMBER(K178))),"",IF(K178&gt;I178,($E178-I178)/(K178-I178),""))</f>
        <v/>
      </c>
      <c r="N178" s="42" t="str">
        <f aca="false">IF(Basis="Compa-ratio",L178,M178)</f>
        <v/>
      </c>
      <c r="O178" s="44" t="str">
        <f aca="false">IF(ISNUMBER(N178),IFERROR(MATCH(N178,Matrix!$C$9:$G$9,1),1),"")</f>
        <v/>
      </c>
      <c r="P178" s="45" t="str">
        <f aca="false">IF(COUNTA($A178:$F178)=0,"",IF(Q178="","Y","N"))</f>
        <v/>
      </c>
      <c r="Q178" s="46" t="str">
        <f aca="false">IF(COUNTA($A178:$F178)=0,"",IF($A178="","ID missing",IF(TRIM($F178)="Exclude","Excluded by plan status",IF(AND(TRIM($F178)&lt;&gt;"",TRIM($F178)&lt;&gt;"Include"),"Plan status not valid (use Include or Exclude)",IF(NOT(ISNUMBER($C178)),"Hire date missing or not a date",IF($C178&gt;Cutoff,"Hired after cutoff",IF(NOT(ISNUMBER($E178)),"Salary missing or not a number",IF($E178&lt;=0,"Salary missing or not a number",IF(OR(NOT(ISNUMBER(I178)),NOT(ISNUMBER(J178)),NOT(ISNUMBER(K178))),"Grade not found in Ranges",IF($D178="","Rating missing",IF($D178="NR","Not rated (NR)",IF(NOT(ISNUMBER(MATCH($D178,Matrix!$A$14:$A$18,0))),"Rating not valid (use 1 to 5 or NR)",IF(NOT(ISNUMBER(O178)),"Band not found (check range and limits)","")))))))))))))</f>
        <v/>
      </c>
      <c r="R178" s="47" t="str">
        <f aca="false">IF($P178="Y",INDEX(Matrix!$C$14:$G$18,MATCH($D178,Matrix!$A$14:$A$18,0),$O178),IF($P178="N",0,""))</f>
        <v/>
      </c>
      <c r="S178" s="47" t="str">
        <f aca="false">IF($P178="Y",IF(AND(ISNUMBER($G178),$G178&gt;=0,$G178&lt;=1),$G178,$R178),IF($P178="N",0,""))</f>
        <v/>
      </c>
      <c r="T178" s="48" t="str">
        <f aca="false">IF($P178&lt;&gt;"Y",IF($P178="N",0,""),IF(ProrateMethod="None",1,IF($C178&lt;=PeriodStart,1,IF(ProrateMethod="Daily",MAX(0,MIN(1,(PeriodEnd-$C178+1)/(PeriodEnd-PeriodStart+1))),MAX(0,MIN(1,((YEAR(PeriodEnd)-YEAR($C178))*12+MONTH(PeriodEnd)-MONTH($C178)+1-IF(DAY($C178)&gt;MonthCutDay,1,0))/PeriodMonths))))))</f>
        <v/>
      </c>
      <c r="U178" s="47" t="str">
        <f aca="false">IF($P178="","",$S178*$T178)</f>
        <v/>
      </c>
      <c r="V178" s="49" t="str">
        <f aca="false">IF($P178="","",IF(ISNUMBER($E178),$E178,0)*$R178)</f>
        <v/>
      </c>
      <c r="W178" s="49" t="str">
        <f aca="false">IF($P178="","",IF(ISNUMBER($E178),$E178,0)*$S178)</f>
        <v/>
      </c>
      <c r="X178" s="49" t="str">
        <f aca="false">IF($P178="","",IF(ISNUMBER($E178),$E178,0)*$U178)</f>
        <v/>
      </c>
      <c r="Y178" s="49" t="str">
        <f aca="false">IF($P178="","",IF(AND(CapAtMax="Yes",$P178="Y"),MAX(0,MIN($X178,$K178-$E178)),$X178))</f>
        <v/>
      </c>
      <c r="Z178" s="41" t="str">
        <f aca="false">IF(OR($P178="",NOT(ISNUMBER($E178))),"",$E178+$Y178)</f>
        <v/>
      </c>
      <c r="AA178" s="42" t="str">
        <f aca="false">IF(AND(ISNUMBER(Z178),ISNUMBER(J178)),IF(J178&gt;0,Z178/J178,""),"")</f>
        <v/>
      </c>
      <c r="AB178" s="46" t="str">
        <f aca="false">IF($P178="","",TRIM(IF(AND($P178="Y",ISNUMBER(K178),ISNUMBER(Z178)),IF(Z178&gt;K178,"Above range max. ",""),"")&amp;IF(AND($P178="Y",ISNUMBER($X178),ISNUMBER($Y178)),IF($X178-$Y178&gt;0.005,"Capped at range max. ",""),"")&amp;IF(AND(AND(ISNUMBER($G178),$G178&gt;=0,$G178&lt;=1),$H178=""),"Override needs a reason. ","")&amp;IF(AND(AND(ISNUMBER($G178),$G178&gt;=0,$G178&lt;=1),$P178&lt;&gt;"Y"),"Override ignored. ","")&amp;IF(AND($G178&lt;&gt;"",NOT(AND(ISNUMBER($G178),$G178&gt;=0,$G178&lt;=1))),"Override not valid, ignored. ","")&amp;IF(AND($A178&lt;&gt;"",COUNTIF($A$5:$A$254,$A178)&gt;1),"Duplicate ID. ","")))</f>
        <v/>
      </c>
    </row>
    <row r="179" customFormat="false" ht="15" hidden="false" customHeight="false" outlineLevel="0" collapsed="false">
      <c r="A179" s="18"/>
      <c r="B179" s="38"/>
      <c r="C179" s="39"/>
      <c r="D179" s="38"/>
      <c r="E179" s="19"/>
      <c r="F179" s="38"/>
      <c r="G179" s="40"/>
      <c r="H179" s="18"/>
      <c r="I179" s="41" t="str">
        <f aca="false">IF(COUNTA($A179:$F179)=0,"",IF($B179="","",IFERROR(INDEX(Ranges!$B$5:$B$16,MATCH($B179,Ranges!$A$5:$A$16,0)),"")))</f>
        <v/>
      </c>
      <c r="J179" s="41" t="str">
        <f aca="false">IF(COUNTA($A179:$F179)=0,"",IF($B179="","",IFERROR(INDEX(Ranges!$C$5:$C$16,MATCH($B179,Ranges!$A$5:$A$16,0)),"")))</f>
        <v/>
      </c>
      <c r="K179" s="41" t="str">
        <f aca="false">IF(COUNTA($A179:$F179)=0,"",IF($B179="","",IFERROR(INDEX(Ranges!$D$5:$D$16,MATCH($B179,Ranges!$A$5:$A$16,0)),"")))</f>
        <v/>
      </c>
      <c r="L179" s="42" t="str">
        <f aca="false">IF(OR(NOT(ISNUMBER($E179)),NOT(ISNUMBER(J179))),"",IF(J179&gt;0,$E179/J179,""))</f>
        <v/>
      </c>
      <c r="M179" s="43" t="str">
        <f aca="false">IF(OR(NOT(ISNUMBER($E179)),NOT(ISNUMBER(I179)),NOT(ISNUMBER(K179))),"",IF(K179&gt;I179,($E179-I179)/(K179-I179),""))</f>
        <v/>
      </c>
      <c r="N179" s="42" t="str">
        <f aca="false">IF(Basis="Compa-ratio",L179,M179)</f>
        <v/>
      </c>
      <c r="O179" s="44" t="str">
        <f aca="false">IF(ISNUMBER(N179),IFERROR(MATCH(N179,Matrix!$C$9:$G$9,1),1),"")</f>
        <v/>
      </c>
      <c r="P179" s="45" t="str">
        <f aca="false">IF(COUNTA($A179:$F179)=0,"",IF(Q179="","Y","N"))</f>
        <v/>
      </c>
      <c r="Q179" s="46" t="str">
        <f aca="false">IF(COUNTA($A179:$F179)=0,"",IF($A179="","ID missing",IF(TRIM($F179)="Exclude","Excluded by plan status",IF(AND(TRIM($F179)&lt;&gt;"",TRIM($F179)&lt;&gt;"Include"),"Plan status not valid (use Include or Exclude)",IF(NOT(ISNUMBER($C179)),"Hire date missing or not a date",IF($C179&gt;Cutoff,"Hired after cutoff",IF(NOT(ISNUMBER($E179)),"Salary missing or not a number",IF($E179&lt;=0,"Salary missing or not a number",IF(OR(NOT(ISNUMBER(I179)),NOT(ISNUMBER(J179)),NOT(ISNUMBER(K179))),"Grade not found in Ranges",IF($D179="","Rating missing",IF($D179="NR","Not rated (NR)",IF(NOT(ISNUMBER(MATCH($D179,Matrix!$A$14:$A$18,0))),"Rating not valid (use 1 to 5 or NR)",IF(NOT(ISNUMBER(O179)),"Band not found (check range and limits)","")))))))))))))</f>
        <v/>
      </c>
      <c r="R179" s="47" t="str">
        <f aca="false">IF($P179="Y",INDEX(Matrix!$C$14:$G$18,MATCH($D179,Matrix!$A$14:$A$18,0),$O179),IF($P179="N",0,""))</f>
        <v/>
      </c>
      <c r="S179" s="47" t="str">
        <f aca="false">IF($P179="Y",IF(AND(ISNUMBER($G179),$G179&gt;=0,$G179&lt;=1),$G179,$R179),IF($P179="N",0,""))</f>
        <v/>
      </c>
      <c r="T179" s="48" t="str">
        <f aca="false">IF($P179&lt;&gt;"Y",IF($P179="N",0,""),IF(ProrateMethod="None",1,IF($C179&lt;=PeriodStart,1,IF(ProrateMethod="Daily",MAX(0,MIN(1,(PeriodEnd-$C179+1)/(PeriodEnd-PeriodStart+1))),MAX(0,MIN(1,((YEAR(PeriodEnd)-YEAR($C179))*12+MONTH(PeriodEnd)-MONTH($C179)+1-IF(DAY($C179)&gt;MonthCutDay,1,0))/PeriodMonths))))))</f>
        <v/>
      </c>
      <c r="U179" s="47" t="str">
        <f aca="false">IF($P179="","",$S179*$T179)</f>
        <v/>
      </c>
      <c r="V179" s="49" t="str">
        <f aca="false">IF($P179="","",IF(ISNUMBER($E179),$E179,0)*$R179)</f>
        <v/>
      </c>
      <c r="W179" s="49" t="str">
        <f aca="false">IF($P179="","",IF(ISNUMBER($E179),$E179,0)*$S179)</f>
        <v/>
      </c>
      <c r="X179" s="49" t="str">
        <f aca="false">IF($P179="","",IF(ISNUMBER($E179),$E179,0)*$U179)</f>
        <v/>
      </c>
      <c r="Y179" s="49" t="str">
        <f aca="false">IF($P179="","",IF(AND(CapAtMax="Yes",$P179="Y"),MAX(0,MIN($X179,$K179-$E179)),$X179))</f>
        <v/>
      </c>
      <c r="Z179" s="41" t="str">
        <f aca="false">IF(OR($P179="",NOT(ISNUMBER($E179))),"",$E179+$Y179)</f>
        <v/>
      </c>
      <c r="AA179" s="42" t="str">
        <f aca="false">IF(AND(ISNUMBER(Z179),ISNUMBER(J179)),IF(J179&gt;0,Z179/J179,""),"")</f>
        <v/>
      </c>
      <c r="AB179" s="46" t="str">
        <f aca="false">IF($P179="","",TRIM(IF(AND($P179="Y",ISNUMBER(K179),ISNUMBER(Z179)),IF(Z179&gt;K179,"Above range max. ",""),"")&amp;IF(AND($P179="Y",ISNUMBER($X179),ISNUMBER($Y179)),IF($X179-$Y179&gt;0.005,"Capped at range max. ",""),"")&amp;IF(AND(AND(ISNUMBER($G179),$G179&gt;=0,$G179&lt;=1),$H179=""),"Override needs a reason. ","")&amp;IF(AND(AND(ISNUMBER($G179),$G179&gt;=0,$G179&lt;=1),$P179&lt;&gt;"Y"),"Override ignored. ","")&amp;IF(AND($G179&lt;&gt;"",NOT(AND(ISNUMBER($G179),$G179&gt;=0,$G179&lt;=1))),"Override not valid, ignored. ","")&amp;IF(AND($A179&lt;&gt;"",COUNTIF($A$5:$A$254,$A179)&gt;1),"Duplicate ID. ","")))</f>
        <v/>
      </c>
    </row>
    <row r="180" customFormat="false" ht="15" hidden="false" customHeight="false" outlineLevel="0" collapsed="false">
      <c r="A180" s="18"/>
      <c r="B180" s="38"/>
      <c r="C180" s="39"/>
      <c r="D180" s="38"/>
      <c r="E180" s="19"/>
      <c r="F180" s="38"/>
      <c r="G180" s="40"/>
      <c r="H180" s="18"/>
      <c r="I180" s="41" t="str">
        <f aca="false">IF(COUNTA($A180:$F180)=0,"",IF($B180="","",IFERROR(INDEX(Ranges!$B$5:$B$16,MATCH($B180,Ranges!$A$5:$A$16,0)),"")))</f>
        <v/>
      </c>
      <c r="J180" s="41" t="str">
        <f aca="false">IF(COUNTA($A180:$F180)=0,"",IF($B180="","",IFERROR(INDEX(Ranges!$C$5:$C$16,MATCH($B180,Ranges!$A$5:$A$16,0)),"")))</f>
        <v/>
      </c>
      <c r="K180" s="41" t="str">
        <f aca="false">IF(COUNTA($A180:$F180)=0,"",IF($B180="","",IFERROR(INDEX(Ranges!$D$5:$D$16,MATCH($B180,Ranges!$A$5:$A$16,0)),"")))</f>
        <v/>
      </c>
      <c r="L180" s="42" t="str">
        <f aca="false">IF(OR(NOT(ISNUMBER($E180)),NOT(ISNUMBER(J180))),"",IF(J180&gt;0,$E180/J180,""))</f>
        <v/>
      </c>
      <c r="M180" s="43" t="str">
        <f aca="false">IF(OR(NOT(ISNUMBER($E180)),NOT(ISNUMBER(I180)),NOT(ISNUMBER(K180))),"",IF(K180&gt;I180,($E180-I180)/(K180-I180),""))</f>
        <v/>
      </c>
      <c r="N180" s="42" t="str">
        <f aca="false">IF(Basis="Compa-ratio",L180,M180)</f>
        <v/>
      </c>
      <c r="O180" s="44" t="str">
        <f aca="false">IF(ISNUMBER(N180),IFERROR(MATCH(N180,Matrix!$C$9:$G$9,1),1),"")</f>
        <v/>
      </c>
      <c r="P180" s="45" t="str">
        <f aca="false">IF(COUNTA($A180:$F180)=0,"",IF(Q180="","Y","N"))</f>
        <v/>
      </c>
      <c r="Q180" s="46" t="str">
        <f aca="false">IF(COUNTA($A180:$F180)=0,"",IF($A180="","ID missing",IF(TRIM($F180)="Exclude","Excluded by plan status",IF(AND(TRIM($F180)&lt;&gt;"",TRIM($F180)&lt;&gt;"Include"),"Plan status not valid (use Include or Exclude)",IF(NOT(ISNUMBER($C180)),"Hire date missing or not a date",IF($C180&gt;Cutoff,"Hired after cutoff",IF(NOT(ISNUMBER($E180)),"Salary missing or not a number",IF($E180&lt;=0,"Salary missing or not a number",IF(OR(NOT(ISNUMBER(I180)),NOT(ISNUMBER(J180)),NOT(ISNUMBER(K180))),"Grade not found in Ranges",IF($D180="","Rating missing",IF($D180="NR","Not rated (NR)",IF(NOT(ISNUMBER(MATCH($D180,Matrix!$A$14:$A$18,0))),"Rating not valid (use 1 to 5 or NR)",IF(NOT(ISNUMBER(O180)),"Band not found (check range and limits)","")))))))))))))</f>
        <v/>
      </c>
      <c r="R180" s="47" t="str">
        <f aca="false">IF($P180="Y",INDEX(Matrix!$C$14:$G$18,MATCH($D180,Matrix!$A$14:$A$18,0),$O180),IF($P180="N",0,""))</f>
        <v/>
      </c>
      <c r="S180" s="47" t="str">
        <f aca="false">IF($P180="Y",IF(AND(ISNUMBER($G180),$G180&gt;=0,$G180&lt;=1),$G180,$R180),IF($P180="N",0,""))</f>
        <v/>
      </c>
      <c r="T180" s="48" t="str">
        <f aca="false">IF($P180&lt;&gt;"Y",IF($P180="N",0,""),IF(ProrateMethod="None",1,IF($C180&lt;=PeriodStart,1,IF(ProrateMethod="Daily",MAX(0,MIN(1,(PeriodEnd-$C180+1)/(PeriodEnd-PeriodStart+1))),MAX(0,MIN(1,((YEAR(PeriodEnd)-YEAR($C180))*12+MONTH(PeriodEnd)-MONTH($C180)+1-IF(DAY($C180)&gt;MonthCutDay,1,0))/PeriodMonths))))))</f>
        <v/>
      </c>
      <c r="U180" s="47" t="str">
        <f aca="false">IF($P180="","",$S180*$T180)</f>
        <v/>
      </c>
      <c r="V180" s="49" t="str">
        <f aca="false">IF($P180="","",IF(ISNUMBER($E180),$E180,0)*$R180)</f>
        <v/>
      </c>
      <c r="W180" s="49" t="str">
        <f aca="false">IF($P180="","",IF(ISNUMBER($E180),$E180,0)*$S180)</f>
        <v/>
      </c>
      <c r="X180" s="49" t="str">
        <f aca="false">IF($P180="","",IF(ISNUMBER($E180),$E180,0)*$U180)</f>
        <v/>
      </c>
      <c r="Y180" s="49" t="str">
        <f aca="false">IF($P180="","",IF(AND(CapAtMax="Yes",$P180="Y"),MAX(0,MIN($X180,$K180-$E180)),$X180))</f>
        <v/>
      </c>
      <c r="Z180" s="41" t="str">
        <f aca="false">IF(OR($P180="",NOT(ISNUMBER($E180))),"",$E180+$Y180)</f>
        <v/>
      </c>
      <c r="AA180" s="42" t="str">
        <f aca="false">IF(AND(ISNUMBER(Z180),ISNUMBER(J180)),IF(J180&gt;0,Z180/J180,""),"")</f>
        <v/>
      </c>
      <c r="AB180" s="46" t="str">
        <f aca="false">IF($P180="","",TRIM(IF(AND($P180="Y",ISNUMBER(K180),ISNUMBER(Z180)),IF(Z180&gt;K180,"Above range max. ",""),"")&amp;IF(AND($P180="Y",ISNUMBER($X180),ISNUMBER($Y180)),IF($X180-$Y180&gt;0.005,"Capped at range max. ",""),"")&amp;IF(AND(AND(ISNUMBER($G180),$G180&gt;=0,$G180&lt;=1),$H180=""),"Override needs a reason. ","")&amp;IF(AND(AND(ISNUMBER($G180),$G180&gt;=0,$G180&lt;=1),$P180&lt;&gt;"Y"),"Override ignored. ","")&amp;IF(AND($G180&lt;&gt;"",NOT(AND(ISNUMBER($G180),$G180&gt;=0,$G180&lt;=1))),"Override not valid, ignored. ","")&amp;IF(AND($A180&lt;&gt;"",COUNTIF($A$5:$A$254,$A180)&gt;1),"Duplicate ID. ","")))</f>
        <v/>
      </c>
    </row>
    <row r="181" customFormat="false" ht="15" hidden="false" customHeight="false" outlineLevel="0" collapsed="false">
      <c r="A181" s="18"/>
      <c r="B181" s="38"/>
      <c r="C181" s="39"/>
      <c r="D181" s="38"/>
      <c r="E181" s="19"/>
      <c r="F181" s="38"/>
      <c r="G181" s="40"/>
      <c r="H181" s="18"/>
      <c r="I181" s="41" t="str">
        <f aca="false">IF(COUNTA($A181:$F181)=0,"",IF($B181="","",IFERROR(INDEX(Ranges!$B$5:$B$16,MATCH($B181,Ranges!$A$5:$A$16,0)),"")))</f>
        <v/>
      </c>
      <c r="J181" s="41" t="str">
        <f aca="false">IF(COUNTA($A181:$F181)=0,"",IF($B181="","",IFERROR(INDEX(Ranges!$C$5:$C$16,MATCH($B181,Ranges!$A$5:$A$16,0)),"")))</f>
        <v/>
      </c>
      <c r="K181" s="41" t="str">
        <f aca="false">IF(COUNTA($A181:$F181)=0,"",IF($B181="","",IFERROR(INDEX(Ranges!$D$5:$D$16,MATCH($B181,Ranges!$A$5:$A$16,0)),"")))</f>
        <v/>
      </c>
      <c r="L181" s="42" t="str">
        <f aca="false">IF(OR(NOT(ISNUMBER($E181)),NOT(ISNUMBER(J181))),"",IF(J181&gt;0,$E181/J181,""))</f>
        <v/>
      </c>
      <c r="M181" s="43" t="str">
        <f aca="false">IF(OR(NOT(ISNUMBER($E181)),NOT(ISNUMBER(I181)),NOT(ISNUMBER(K181))),"",IF(K181&gt;I181,($E181-I181)/(K181-I181),""))</f>
        <v/>
      </c>
      <c r="N181" s="42" t="str">
        <f aca="false">IF(Basis="Compa-ratio",L181,M181)</f>
        <v/>
      </c>
      <c r="O181" s="44" t="str">
        <f aca="false">IF(ISNUMBER(N181),IFERROR(MATCH(N181,Matrix!$C$9:$G$9,1),1),"")</f>
        <v/>
      </c>
      <c r="P181" s="45" t="str">
        <f aca="false">IF(COUNTA($A181:$F181)=0,"",IF(Q181="","Y","N"))</f>
        <v/>
      </c>
      <c r="Q181" s="46" t="str">
        <f aca="false">IF(COUNTA($A181:$F181)=0,"",IF($A181="","ID missing",IF(TRIM($F181)="Exclude","Excluded by plan status",IF(AND(TRIM($F181)&lt;&gt;"",TRIM($F181)&lt;&gt;"Include"),"Plan status not valid (use Include or Exclude)",IF(NOT(ISNUMBER($C181)),"Hire date missing or not a date",IF($C181&gt;Cutoff,"Hired after cutoff",IF(NOT(ISNUMBER($E181)),"Salary missing or not a number",IF($E181&lt;=0,"Salary missing or not a number",IF(OR(NOT(ISNUMBER(I181)),NOT(ISNUMBER(J181)),NOT(ISNUMBER(K181))),"Grade not found in Ranges",IF($D181="","Rating missing",IF($D181="NR","Not rated (NR)",IF(NOT(ISNUMBER(MATCH($D181,Matrix!$A$14:$A$18,0))),"Rating not valid (use 1 to 5 or NR)",IF(NOT(ISNUMBER(O181)),"Band not found (check range and limits)","")))))))))))))</f>
        <v/>
      </c>
      <c r="R181" s="47" t="str">
        <f aca="false">IF($P181="Y",INDEX(Matrix!$C$14:$G$18,MATCH($D181,Matrix!$A$14:$A$18,0),$O181),IF($P181="N",0,""))</f>
        <v/>
      </c>
      <c r="S181" s="47" t="str">
        <f aca="false">IF($P181="Y",IF(AND(ISNUMBER($G181),$G181&gt;=0,$G181&lt;=1),$G181,$R181),IF($P181="N",0,""))</f>
        <v/>
      </c>
      <c r="T181" s="48" t="str">
        <f aca="false">IF($P181&lt;&gt;"Y",IF($P181="N",0,""),IF(ProrateMethod="None",1,IF($C181&lt;=PeriodStart,1,IF(ProrateMethod="Daily",MAX(0,MIN(1,(PeriodEnd-$C181+1)/(PeriodEnd-PeriodStart+1))),MAX(0,MIN(1,((YEAR(PeriodEnd)-YEAR($C181))*12+MONTH(PeriodEnd)-MONTH($C181)+1-IF(DAY($C181)&gt;MonthCutDay,1,0))/PeriodMonths))))))</f>
        <v/>
      </c>
      <c r="U181" s="47" t="str">
        <f aca="false">IF($P181="","",$S181*$T181)</f>
        <v/>
      </c>
      <c r="V181" s="49" t="str">
        <f aca="false">IF($P181="","",IF(ISNUMBER($E181),$E181,0)*$R181)</f>
        <v/>
      </c>
      <c r="W181" s="49" t="str">
        <f aca="false">IF($P181="","",IF(ISNUMBER($E181),$E181,0)*$S181)</f>
        <v/>
      </c>
      <c r="X181" s="49" t="str">
        <f aca="false">IF($P181="","",IF(ISNUMBER($E181),$E181,0)*$U181)</f>
        <v/>
      </c>
      <c r="Y181" s="49" t="str">
        <f aca="false">IF($P181="","",IF(AND(CapAtMax="Yes",$P181="Y"),MAX(0,MIN($X181,$K181-$E181)),$X181))</f>
        <v/>
      </c>
      <c r="Z181" s="41" t="str">
        <f aca="false">IF(OR($P181="",NOT(ISNUMBER($E181))),"",$E181+$Y181)</f>
        <v/>
      </c>
      <c r="AA181" s="42" t="str">
        <f aca="false">IF(AND(ISNUMBER(Z181),ISNUMBER(J181)),IF(J181&gt;0,Z181/J181,""),"")</f>
        <v/>
      </c>
      <c r="AB181" s="46" t="str">
        <f aca="false">IF($P181="","",TRIM(IF(AND($P181="Y",ISNUMBER(K181),ISNUMBER(Z181)),IF(Z181&gt;K181,"Above range max. ",""),"")&amp;IF(AND($P181="Y",ISNUMBER($X181),ISNUMBER($Y181)),IF($X181-$Y181&gt;0.005,"Capped at range max. ",""),"")&amp;IF(AND(AND(ISNUMBER($G181),$G181&gt;=0,$G181&lt;=1),$H181=""),"Override needs a reason. ","")&amp;IF(AND(AND(ISNUMBER($G181),$G181&gt;=0,$G181&lt;=1),$P181&lt;&gt;"Y"),"Override ignored. ","")&amp;IF(AND($G181&lt;&gt;"",NOT(AND(ISNUMBER($G181),$G181&gt;=0,$G181&lt;=1))),"Override not valid, ignored. ","")&amp;IF(AND($A181&lt;&gt;"",COUNTIF($A$5:$A$254,$A181)&gt;1),"Duplicate ID. ","")))</f>
        <v/>
      </c>
    </row>
    <row r="182" customFormat="false" ht="15" hidden="false" customHeight="false" outlineLevel="0" collapsed="false">
      <c r="A182" s="18"/>
      <c r="B182" s="38"/>
      <c r="C182" s="39"/>
      <c r="D182" s="38"/>
      <c r="E182" s="19"/>
      <c r="F182" s="38"/>
      <c r="G182" s="40"/>
      <c r="H182" s="18"/>
      <c r="I182" s="41" t="str">
        <f aca="false">IF(COUNTA($A182:$F182)=0,"",IF($B182="","",IFERROR(INDEX(Ranges!$B$5:$B$16,MATCH($B182,Ranges!$A$5:$A$16,0)),"")))</f>
        <v/>
      </c>
      <c r="J182" s="41" t="str">
        <f aca="false">IF(COUNTA($A182:$F182)=0,"",IF($B182="","",IFERROR(INDEX(Ranges!$C$5:$C$16,MATCH($B182,Ranges!$A$5:$A$16,0)),"")))</f>
        <v/>
      </c>
      <c r="K182" s="41" t="str">
        <f aca="false">IF(COUNTA($A182:$F182)=0,"",IF($B182="","",IFERROR(INDEX(Ranges!$D$5:$D$16,MATCH($B182,Ranges!$A$5:$A$16,0)),"")))</f>
        <v/>
      </c>
      <c r="L182" s="42" t="str">
        <f aca="false">IF(OR(NOT(ISNUMBER($E182)),NOT(ISNUMBER(J182))),"",IF(J182&gt;0,$E182/J182,""))</f>
        <v/>
      </c>
      <c r="M182" s="43" t="str">
        <f aca="false">IF(OR(NOT(ISNUMBER($E182)),NOT(ISNUMBER(I182)),NOT(ISNUMBER(K182))),"",IF(K182&gt;I182,($E182-I182)/(K182-I182),""))</f>
        <v/>
      </c>
      <c r="N182" s="42" t="str">
        <f aca="false">IF(Basis="Compa-ratio",L182,M182)</f>
        <v/>
      </c>
      <c r="O182" s="44" t="str">
        <f aca="false">IF(ISNUMBER(N182),IFERROR(MATCH(N182,Matrix!$C$9:$G$9,1),1),"")</f>
        <v/>
      </c>
      <c r="P182" s="45" t="str">
        <f aca="false">IF(COUNTA($A182:$F182)=0,"",IF(Q182="","Y","N"))</f>
        <v/>
      </c>
      <c r="Q182" s="46" t="str">
        <f aca="false">IF(COUNTA($A182:$F182)=0,"",IF($A182="","ID missing",IF(TRIM($F182)="Exclude","Excluded by plan status",IF(AND(TRIM($F182)&lt;&gt;"",TRIM($F182)&lt;&gt;"Include"),"Plan status not valid (use Include or Exclude)",IF(NOT(ISNUMBER($C182)),"Hire date missing or not a date",IF($C182&gt;Cutoff,"Hired after cutoff",IF(NOT(ISNUMBER($E182)),"Salary missing or not a number",IF($E182&lt;=0,"Salary missing or not a number",IF(OR(NOT(ISNUMBER(I182)),NOT(ISNUMBER(J182)),NOT(ISNUMBER(K182))),"Grade not found in Ranges",IF($D182="","Rating missing",IF($D182="NR","Not rated (NR)",IF(NOT(ISNUMBER(MATCH($D182,Matrix!$A$14:$A$18,0))),"Rating not valid (use 1 to 5 or NR)",IF(NOT(ISNUMBER(O182)),"Band not found (check range and limits)","")))))))))))))</f>
        <v/>
      </c>
      <c r="R182" s="47" t="str">
        <f aca="false">IF($P182="Y",INDEX(Matrix!$C$14:$G$18,MATCH($D182,Matrix!$A$14:$A$18,0),$O182),IF($P182="N",0,""))</f>
        <v/>
      </c>
      <c r="S182" s="47" t="str">
        <f aca="false">IF($P182="Y",IF(AND(ISNUMBER($G182),$G182&gt;=0,$G182&lt;=1),$G182,$R182),IF($P182="N",0,""))</f>
        <v/>
      </c>
      <c r="T182" s="48" t="str">
        <f aca="false">IF($P182&lt;&gt;"Y",IF($P182="N",0,""),IF(ProrateMethod="None",1,IF($C182&lt;=PeriodStart,1,IF(ProrateMethod="Daily",MAX(0,MIN(1,(PeriodEnd-$C182+1)/(PeriodEnd-PeriodStart+1))),MAX(0,MIN(1,((YEAR(PeriodEnd)-YEAR($C182))*12+MONTH(PeriodEnd)-MONTH($C182)+1-IF(DAY($C182)&gt;MonthCutDay,1,0))/PeriodMonths))))))</f>
        <v/>
      </c>
      <c r="U182" s="47" t="str">
        <f aca="false">IF($P182="","",$S182*$T182)</f>
        <v/>
      </c>
      <c r="V182" s="49" t="str">
        <f aca="false">IF($P182="","",IF(ISNUMBER($E182),$E182,0)*$R182)</f>
        <v/>
      </c>
      <c r="W182" s="49" t="str">
        <f aca="false">IF($P182="","",IF(ISNUMBER($E182),$E182,0)*$S182)</f>
        <v/>
      </c>
      <c r="X182" s="49" t="str">
        <f aca="false">IF($P182="","",IF(ISNUMBER($E182),$E182,0)*$U182)</f>
        <v/>
      </c>
      <c r="Y182" s="49" t="str">
        <f aca="false">IF($P182="","",IF(AND(CapAtMax="Yes",$P182="Y"),MAX(0,MIN($X182,$K182-$E182)),$X182))</f>
        <v/>
      </c>
      <c r="Z182" s="41" t="str">
        <f aca="false">IF(OR($P182="",NOT(ISNUMBER($E182))),"",$E182+$Y182)</f>
        <v/>
      </c>
      <c r="AA182" s="42" t="str">
        <f aca="false">IF(AND(ISNUMBER(Z182),ISNUMBER(J182)),IF(J182&gt;0,Z182/J182,""),"")</f>
        <v/>
      </c>
      <c r="AB182" s="46" t="str">
        <f aca="false">IF($P182="","",TRIM(IF(AND($P182="Y",ISNUMBER(K182),ISNUMBER(Z182)),IF(Z182&gt;K182,"Above range max. ",""),"")&amp;IF(AND($P182="Y",ISNUMBER($X182),ISNUMBER($Y182)),IF($X182-$Y182&gt;0.005,"Capped at range max. ",""),"")&amp;IF(AND(AND(ISNUMBER($G182),$G182&gt;=0,$G182&lt;=1),$H182=""),"Override needs a reason. ","")&amp;IF(AND(AND(ISNUMBER($G182),$G182&gt;=0,$G182&lt;=1),$P182&lt;&gt;"Y"),"Override ignored. ","")&amp;IF(AND($G182&lt;&gt;"",NOT(AND(ISNUMBER($G182),$G182&gt;=0,$G182&lt;=1))),"Override not valid, ignored. ","")&amp;IF(AND($A182&lt;&gt;"",COUNTIF($A$5:$A$254,$A182)&gt;1),"Duplicate ID. ","")))</f>
        <v/>
      </c>
    </row>
    <row r="183" customFormat="false" ht="15" hidden="false" customHeight="false" outlineLevel="0" collapsed="false">
      <c r="A183" s="18"/>
      <c r="B183" s="38"/>
      <c r="C183" s="39"/>
      <c r="D183" s="38"/>
      <c r="E183" s="19"/>
      <c r="F183" s="38"/>
      <c r="G183" s="40"/>
      <c r="H183" s="18"/>
      <c r="I183" s="41" t="str">
        <f aca="false">IF(COUNTA($A183:$F183)=0,"",IF($B183="","",IFERROR(INDEX(Ranges!$B$5:$B$16,MATCH($B183,Ranges!$A$5:$A$16,0)),"")))</f>
        <v/>
      </c>
      <c r="J183" s="41" t="str">
        <f aca="false">IF(COUNTA($A183:$F183)=0,"",IF($B183="","",IFERROR(INDEX(Ranges!$C$5:$C$16,MATCH($B183,Ranges!$A$5:$A$16,0)),"")))</f>
        <v/>
      </c>
      <c r="K183" s="41" t="str">
        <f aca="false">IF(COUNTA($A183:$F183)=0,"",IF($B183="","",IFERROR(INDEX(Ranges!$D$5:$D$16,MATCH($B183,Ranges!$A$5:$A$16,0)),"")))</f>
        <v/>
      </c>
      <c r="L183" s="42" t="str">
        <f aca="false">IF(OR(NOT(ISNUMBER($E183)),NOT(ISNUMBER(J183))),"",IF(J183&gt;0,$E183/J183,""))</f>
        <v/>
      </c>
      <c r="M183" s="43" t="str">
        <f aca="false">IF(OR(NOT(ISNUMBER($E183)),NOT(ISNUMBER(I183)),NOT(ISNUMBER(K183))),"",IF(K183&gt;I183,($E183-I183)/(K183-I183),""))</f>
        <v/>
      </c>
      <c r="N183" s="42" t="str">
        <f aca="false">IF(Basis="Compa-ratio",L183,M183)</f>
        <v/>
      </c>
      <c r="O183" s="44" t="str">
        <f aca="false">IF(ISNUMBER(N183),IFERROR(MATCH(N183,Matrix!$C$9:$G$9,1),1),"")</f>
        <v/>
      </c>
      <c r="P183" s="45" t="str">
        <f aca="false">IF(COUNTA($A183:$F183)=0,"",IF(Q183="","Y","N"))</f>
        <v/>
      </c>
      <c r="Q183" s="46" t="str">
        <f aca="false">IF(COUNTA($A183:$F183)=0,"",IF($A183="","ID missing",IF(TRIM($F183)="Exclude","Excluded by plan status",IF(AND(TRIM($F183)&lt;&gt;"",TRIM($F183)&lt;&gt;"Include"),"Plan status not valid (use Include or Exclude)",IF(NOT(ISNUMBER($C183)),"Hire date missing or not a date",IF($C183&gt;Cutoff,"Hired after cutoff",IF(NOT(ISNUMBER($E183)),"Salary missing or not a number",IF($E183&lt;=0,"Salary missing or not a number",IF(OR(NOT(ISNUMBER(I183)),NOT(ISNUMBER(J183)),NOT(ISNUMBER(K183))),"Grade not found in Ranges",IF($D183="","Rating missing",IF($D183="NR","Not rated (NR)",IF(NOT(ISNUMBER(MATCH($D183,Matrix!$A$14:$A$18,0))),"Rating not valid (use 1 to 5 or NR)",IF(NOT(ISNUMBER(O183)),"Band not found (check range and limits)","")))))))))))))</f>
        <v/>
      </c>
      <c r="R183" s="47" t="str">
        <f aca="false">IF($P183="Y",INDEX(Matrix!$C$14:$G$18,MATCH($D183,Matrix!$A$14:$A$18,0),$O183),IF($P183="N",0,""))</f>
        <v/>
      </c>
      <c r="S183" s="47" t="str">
        <f aca="false">IF($P183="Y",IF(AND(ISNUMBER($G183),$G183&gt;=0,$G183&lt;=1),$G183,$R183),IF($P183="N",0,""))</f>
        <v/>
      </c>
      <c r="T183" s="48" t="str">
        <f aca="false">IF($P183&lt;&gt;"Y",IF($P183="N",0,""),IF(ProrateMethod="None",1,IF($C183&lt;=PeriodStart,1,IF(ProrateMethod="Daily",MAX(0,MIN(1,(PeriodEnd-$C183+1)/(PeriodEnd-PeriodStart+1))),MAX(0,MIN(1,((YEAR(PeriodEnd)-YEAR($C183))*12+MONTH(PeriodEnd)-MONTH($C183)+1-IF(DAY($C183)&gt;MonthCutDay,1,0))/PeriodMonths))))))</f>
        <v/>
      </c>
      <c r="U183" s="47" t="str">
        <f aca="false">IF($P183="","",$S183*$T183)</f>
        <v/>
      </c>
      <c r="V183" s="49" t="str">
        <f aca="false">IF($P183="","",IF(ISNUMBER($E183),$E183,0)*$R183)</f>
        <v/>
      </c>
      <c r="W183" s="49" t="str">
        <f aca="false">IF($P183="","",IF(ISNUMBER($E183),$E183,0)*$S183)</f>
        <v/>
      </c>
      <c r="X183" s="49" t="str">
        <f aca="false">IF($P183="","",IF(ISNUMBER($E183),$E183,0)*$U183)</f>
        <v/>
      </c>
      <c r="Y183" s="49" t="str">
        <f aca="false">IF($P183="","",IF(AND(CapAtMax="Yes",$P183="Y"),MAX(0,MIN($X183,$K183-$E183)),$X183))</f>
        <v/>
      </c>
      <c r="Z183" s="41" t="str">
        <f aca="false">IF(OR($P183="",NOT(ISNUMBER($E183))),"",$E183+$Y183)</f>
        <v/>
      </c>
      <c r="AA183" s="42" t="str">
        <f aca="false">IF(AND(ISNUMBER(Z183),ISNUMBER(J183)),IF(J183&gt;0,Z183/J183,""),"")</f>
        <v/>
      </c>
      <c r="AB183" s="46" t="str">
        <f aca="false">IF($P183="","",TRIM(IF(AND($P183="Y",ISNUMBER(K183),ISNUMBER(Z183)),IF(Z183&gt;K183,"Above range max. ",""),"")&amp;IF(AND($P183="Y",ISNUMBER($X183),ISNUMBER($Y183)),IF($X183-$Y183&gt;0.005,"Capped at range max. ",""),"")&amp;IF(AND(AND(ISNUMBER($G183),$G183&gt;=0,$G183&lt;=1),$H183=""),"Override needs a reason. ","")&amp;IF(AND(AND(ISNUMBER($G183),$G183&gt;=0,$G183&lt;=1),$P183&lt;&gt;"Y"),"Override ignored. ","")&amp;IF(AND($G183&lt;&gt;"",NOT(AND(ISNUMBER($G183),$G183&gt;=0,$G183&lt;=1))),"Override not valid, ignored. ","")&amp;IF(AND($A183&lt;&gt;"",COUNTIF($A$5:$A$254,$A183)&gt;1),"Duplicate ID. ","")))</f>
        <v/>
      </c>
    </row>
    <row r="184" customFormat="false" ht="15" hidden="false" customHeight="false" outlineLevel="0" collapsed="false">
      <c r="A184" s="18"/>
      <c r="B184" s="38"/>
      <c r="C184" s="39"/>
      <c r="D184" s="38"/>
      <c r="E184" s="19"/>
      <c r="F184" s="38"/>
      <c r="G184" s="40"/>
      <c r="H184" s="18"/>
      <c r="I184" s="41" t="str">
        <f aca="false">IF(COUNTA($A184:$F184)=0,"",IF($B184="","",IFERROR(INDEX(Ranges!$B$5:$B$16,MATCH($B184,Ranges!$A$5:$A$16,0)),"")))</f>
        <v/>
      </c>
      <c r="J184" s="41" t="str">
        <f aca="false">IF(COUNTA($A184:$F184)=0,"",IF($B184="","",IFERROR(INDEX(Ranges!$C$5:$C$16,MATCH($B184,Ranges!$A$5:$A$16,0)),"")))</f>
        <v/>
      </c>
      <c r="K184" s="41" t="str">
        <f aca="false">IF(COUNTA($A184:$F184)=0,"",IF($B184="","",IFERROR(INDEX(Ranges!$D$5:$D$16,MATCH($B184,Ranges!$A$5:$A$16,0)),"")))</f>
        <v/>
      </c>
      <c r="L184" s="42" t="str">
        <f aca="false">IF(OR(NOT(ISNUMBER($E184)),NOT(ISNUMBER(J184))),"",IF(J184&gt;0,$E184/J184,""))</f>
        <v/>
      </c>
      <c r="M184" s="43" t="str">
        <f aca="false">IF(OR(NOT(ISNUMBER($E184)),NOT(ISNUMBER(I184)),NOT(ISNUMBER(K184))),"",IF(K184&gt;I184,($E184-I184)/(K184-I184),""))</f>
        <v/>
      </c>
      <c r="N184" s="42" t="str">
        <f aca="false">IF(Basis="Compa-ratio",L184,M184)</f>
        <v/>
      </c>
      <c r="O184" s="44" t="str">
        <f aca="false">IF(ISNUMBER(N184),IFERROR(MATCH(N184,Matrix!$C$9:$G$9,1),1),"")</f>
        <v/>
      </c>
      <c r="P184" s="45" t="str">
        <f aca="false">IF(COUNTA($A184:$F184)=0,"",IF(Q184="","Y","N"))</f>
        <v/>
      </c>
      <c r="Q184" s="46" t="str">
        <f aca="false">IF(COUNTA($A184:$F184)=0,"",IF($A184="","ID missing",IF(TRIM($F184)="Exclude","Excluded by plan status",IF(AND(TRIM($F184)&lt;&gt;"",TRIM($F184)&lt;&gt;"Include"),"Plan status not valid (use Include or Exclude)",IF(NOT(ISNUMBER($C184)),"Hire date missing or not a date",IF($C184&gt;Cutoff,"Hired after cutoff",IF(NOT(ISNUMBER($E184)),"Salary missing or not a number",IF($E184&lt;=0,"Salary missing or not a number",IF(OR(NOT(ISNUMBER(I184)),NOT(ISNUMBER(J184)),NOT(ISNUMBER(K184))),"Grade not found in Ranges",IF($D184="","Rating missing",IF($D184="NR","Not rated (NR)",IF(NOT(ISNUMBER(MATCH($D184,Matrix!$A$14:$A$18,0))),"Rating not valid (use 1 to 5 or NR)",IF(NOT(ISNUMBER(O184)),"Band not found (check range and limits)","")))))))))))))</f>
        <v/>
      </c>
      <c r="R184" s="47" t="str">
        <f aca="false">IF($P184="Y",INDEX(Matrix!$C$14:$G$18,MATCH($D184,Matrix!$A$14:$A$18,0),$O184),IF($P184="N",0,""))</f>
        <v/>
      </c>
      <c r="S184" s="47" t="str">
        <f aca="false">IF($P184="Y",IF(AND(ISNUMBER($G184),$G184&gt;=0,$G184&lt;=1),$G184,$R184),IF($P184="N",0,""))</f>
        <v/>
      </c>
      <c r="T184" s="48" t="str">
        <f aca="false">IF($P184&lt;&gt;"Y",IF($P184="N",0,""),IF(ProrateMethod="None",1,IF($C184&lt;=PeriodStart,1,IF(ProrateMethod="Daily",MAX(0,MIN(1,(PeriodEnd-$C184+1)/(PeriodEnd-PeriodStart+1))),MAX(0,MIN(1,((YEAR(PeriodEnd)-YEAR($C184))*12+MONTH(PeriodEnd)-MONTH($C184)+1-IF(DAY($C184)&gt;MonthCutDay,1,0))/PeriodMonths))))))</f>
        <v/>
      </c>
      <c r="U184" s="47" t="str">
        <f aca="false">IF($P184="","",$S184*$T184)</f>
        <v/>
      </c>
      <c r="V184" s="49" t="str">
        <f aca="false">IF($P184="","",IF(ISNUMBER($E184),$E184,0)*$R184)</f>
        <v/>
      </c>
      <c r="W184" s="49" t="str">
        <f aca="false">IF($P184="","",IF(ISNUMBER($E184),$E184,0)*$S184)</f>
        <v/>
      </c>
      <c r="X184" s="49" t="str">
        <f aca="false">IF($P184="","",IF(ISNUMBER($E184),$E184,0)*$U184)</f>
        <v/>
      </c>
      <c r="Y184" s="49" t="str">
        <f aca="false">IF($P184="","",IF(AND(CapAtMax="Yes",$P184="Y"),MAX(0,MIN($X184,$K184-$E184)),$X184))</f>
        <v/>
      </c>
      <c r="Z184" s="41" t="str">
        <f aca="false">IF(OR($P184="",NOT(ISNUMBER($E184))),"",$E184+$Y184)</f>
        <v/>
      </c>
      <c r="AA184" s="42" t="str">
        <f aca="false">IF(AND(ISNUMBER(Z184),ISNUMBER(J184)),IF(J184&gt;0,Z184/J184,""),"")</f>
        <v/>
      </c>
      <c r="AB184" s="46" t="str">
        <f aca="false">IF($P184="","",TRIM(IF(AND($P184="Y",ISNUMBER(K184),ISNUMBER(Z184)),IF(Z184&gt;K184,"Above range max. ",""),"")&amp;IF(AND($P184="Y",ISNUMBER($X184),ISNUMBER($Y184)),IF($X184-$Y184&gt;0.005,"Capped at range max. ",""),"")&amp;IF(AND(AND(ISNUMBER($G184),$G184&gt;=0,$G184&lt;=1),$H184=""),"Override needs a reason. ","")&amp;IF(AND(AND(ISNUMBER($G184),$G184&gt;=0,$G184&lt;=1),$P184&lt;&gt;"Y"),"Override ignored. ","")&amp;IF(AND($G184&lt;&gt;"",NOT(AND(ISNUMBER($G184),$G184&gt;=0,$G184&lt;=1))),"Override not valid, ignored. ","")&amp;IF(AND($A184&lt;&gt;"",COUNTIF($A$5:$A$254,$A184)&gt;1),"Duplicate ID. ","")))</f>
        <v/>
      </c>
    </row>
    <row r="185" customFormat="false" ht="15" hidden="false" customHeight="false" outlineLevel="0" collapsed="false">
      <c r="A185" s="18"/>
      <c r="B185" s="38"/>
      <c r="C185" s="39"/>
      <c r="D185" s="38"/>
      <c r="E185" s="19"/>
      <c r="F185" s="38"/>
      <c r="G185" s="40"/>
      <c r="H185" s="18"/>
      <c r="I185" s="41" t="str">
        <f aca="false">IF(COUNTA($A185:$F185)=0,"",IF($B185="","",IFERROR(INDEX(Ranges!$B$5:$B$16,MATCH($B185,Ranges!$A$5:$A$16,0)),"")))</f>
        <v/>
      </c>
      <c r="J185" s="41" t="str">
        <f aca="false">IF(COUNTA($A185:$F185)=0,"",IF($B185="","",IFERROR(INDEX(Ranges!$C$5:$C$16,MATCH($B185,Ranges!$A$5:$A$16,0)),"")))</f>
        <v/>
      </c>
      <c r="K185" s="41" t="str">
        <f aca="false">IF(COUNTA($A185:$F185)=0,"",IF($B185="","",IFERROR(INDEX(Ranges!$D$5:$D$16,MATCH($B185,Ranges!$A$5:$A$16,0)),"")))</f>
        <v/>
      </c>
      <c r="L185" s="42" t="str">
        <f aca="false">IF(OR(NOT(ISNUMBER($E185)),NOT(ISNUMBER(J185))),"",IF(J185&gt;0,$E185/J185,""))</f>
        <v/>
      </c>
      <c r="M185" s="43" t="str">
        <f aca="false">IF(OR(NOT(ISNUMBER($E185)),NOT(ISNUMBER(I185)),NOT(ISNUMBER(K185))),"",IF(K185&gt;I185,($E185-I185)/(K185-I185),""))</f>
        <v/>
      </c>
      <c r="N185" s="42" t="str">
        <f aca="false">IF(Basis="Compa-ratio",L185,M185)</f>
        <v/>
      </c>
      <c r="O185" s="44" t="str">
        <f aca="false">IF(ISNUMBER(N185),IFERROR(MATCH(N185,Matrix!$C$9:$G$9,1),1),"")</f>
        <v/>
      </c>
      <c r="P185" s="45" t="str">
        <f aca="false">IF(COUNTA($A185:$F185)=0,"",IF(Q185="","Y","N"))</f>
        <v/>
      </c>
      <c r="Q185" s="46" t="str">
        <f aca="false">IF(COUNTA($A185:$F185)=0,"",IF($A185="","ID missing",IF(TRIM($F185)="Exclude","Excluded by plan status",IF(AND(TRIM($F185)&lt;&gt;"",TRIM($F185)&lt;&gt;"Include"),"Plan status not valid (use Include or Exclude)",IF(NOT(ISNUMBER($C185)),"Hire date missing or not a date",IF($C185&gt;Cutoff,"Hired after cutoff",IF(NOT(ISNUMBER($E185)),"Salary missing or not a number",IF($E185&lt;=0,"Salary missing or not a number",IF(OR(NOT(ISNUMBER(I185)),NOT(ISNUMBER(J185)),NOT(ISNUMBER(K185))),"Grade not found in Ranges",IF($D185="","Rating missing",IF($D185="NR","Not rated (NR)",IF(NOT(ISNUMBER(MATCH($D185,Matrix!$A$14:$A$18,0))),"Rating not valid (use 1 to 5 or NR)",IF(NOT(ISNUMBER(O185)),"Band not found (check range and limits)","")))))))))))))</f>
        <v/>
      </c>
      <c r="R185" s="47" t="str">
        <f aca="false">IF($P185="Y",INDEX(Matrix!$C$14:$G$18,MATCH($D185,Matrix!$A$14:$A$18,0),$O185),IF($P185="N",0,""))</f>
        <v/>
      </c>
      <c r="S185" s="47" t="str">
        <f aca="false">IF($P185="Y",IF(AND(ISNUMBER($G185),$G185&gt;=0,$G185&lt;=1),$G185,$R185),IF($P185="N",0,""))</f>
        <v/>
      </c>
      <c r="T185" s="48" t="str">
        <f aca="false">IF($P185&lt;&gt;"Y",IF($P185="N",0,""),IF(ProrateMethod="None",1,IF($C185&lt;=PeriodStart,1,IF(ProrateMethod="Daily",MAX(0,MIN(1,(PeriodEnd-$C185+1)/(PeriodEnd-PeriodStart+1))),MAX(0,MIN(1,((YEAR(PeriodEnd)-YEAR($C185))*12+MONTH(PeriodEnd)-MONTH($C185)+1-IF(DAY($C185)&gt;MonthCutDay,1,0))/PeriodMonths))))))</f>
        <v/>
      </c>
      <c r="U185" s="47" t="str">
        <f aca="false">IF($P185="","",$S185*$T185)</f>
        <v/>
      </c>
      <c r="V185" s="49" t="str">
        <f aca="false">IF($P185="","",IF(ISNUMBER($E185),$E185,0)*$R185)</f>
        <v/>
      </c>
      <c r="W185" s="49" t="str">
        <f aca="false">IF($P185="","",IF(ISNUMBER($E185),$E185,0)*$S185)</f>
        <v/>
      </c>
      <c r="X185" s="49" t="str">
        <f aca="false">IF($P185="","",IF(ISNUMBER($E185),$E185,0)*$U185)</f>
        <v/>
      </c>
      <c r="Y185" s="49" t="str">
        <f aca="false">IF($P185="","",IF(AND(CapAtMax="Yes",$P185="Y"),MAX(0,MIN($X185,$K185-$E185)),$X185))</f>
        <v/>
      </c>
      <c r="Z185" s="41" t="str">
        <f aca="false">IF(OR($P185="",NOT(ISNUMBER($E185))),"",$E185+$Y185)</f>
        <v/>
      </c>
      <c r="AA185" s="42" t="str">
        <f aca="false">IF(AND(ISNUMBER(Z185),ISNUMBER(J185)),IF(J185&gt;0,Z185/J185,""),"")</f>
        <v/>
      </c>
      <c r="AB185" s="46" t="str">
        <f aca="false">IF($P185="","",TRIM(IF(AND($P185="Y",ISNUMBER(K185),ISNUMBER(Z185)),IF(Z185&gt;K185,"Above range max. ",""),"")&amp;IF(AND($P185="Y",ISNUMBER($X185),ISNUMBER($Y185)),IF($X185-$Y185&gt;0.005,"Capped at range max. ",""),"")&amp;IF(AND(AND(ISNUMBER($G185),$G185&gt;=0,$G185&lt;=1),$H185=""),"Override needs a reason. ","")&amp;IF(AND(AND(ISNUMBER($G185),$G185&gt;=0,$G185&lt;=1),$P185&lt;&gt;"Y"),"Override ignored. ","")&amp;IF(AND($G185&lt;&gt;"",NOT(AND(ISNUMBER($G185),$G185&gt;=0,$G185&lt;=1))),"Override not valid, ignored. ","")&amp;IF(AND($A185&lt;&gt;"",COUNTIF($A$5:$A$254,$A185)&gt;1),"Duplicate ID. ","")))</f>
        <v/>
      </c>
    </row>
    <row r="186" customFormat="false" ht="15" hidden="false" customHeight="false" outlineLevel="0" collapsed="false">
      <c r="A186" s="18"/>
      <c r="B186" s="38"/>
      <c r="C186" s="39"/>
      <c r="D186" s="38"/>
      <c r="E186" s="19"/>
      <c r="F186" s="38"/>
      <c r="G186" s="40"/>
      <c r="H186" s="18"/>
      <c r="I186" s="41" t="str">
        <f aca="false">IF(COUNTA($A186:$F186)=0,"",IF($B186="","",IFERROR(INDEX(Ranges!$B$5:$B$16,MATCH($B186,Ranges!$A$5:$A$16,0)),"")))</f>
        <v/>
      </c>
      <c r="J186" s="41" t="str">
        <f aca="false">IF(COUNTA($A186:$F186)=0,"",IF($B186="","",IFERROR(INDEX(Ranges!$C$5:$C$16,MATCH($B186,Ranges!$A$5:$A$16,0)),"")))</f>
        <v/>
      </c>
      <c r="K186" s="41" t="str">
        <f aca="false">IF(COUNTA($A186:$F186)=0,"",IF($B186="","",IFERROR(INDEX(Ranges!$D$5:$D$16,MATCH($B186,Ranges!$A$5:$A$16,0)),"")))</f>
        <v/>
      </c>
      <c r="L186" s="42" t="str">
        <f aca="false">IF(OR(NOT(ISNUMBER($E186)),NOT(ISNUMBER(J186))),"",IF(J186&gt;0,$E186/J186,""))</f>
        <v/>
      </c>
      <c r="M186" s="43" t="str">
        <f aca="false">IF(OR(NOT(ISNUMBER($E186)),NOT(ISNUMBER(I186)),NOT(ISNUMBER(K186))),"",IF(K186&gt;I186,($E186-I186)/(K186-I186),""))</f>
        <v/>
      </c>
      <c r="N186" s="42" t="str">
        <f aca="false">IF(Basis="Compa-ratio",L186,M186)</f>
        <v/>
      </c>
      <c r="O186" s="44" t="str">
        <f aca="false">IF(ISNUMBER(N186),IFERROR(MATCH(N186,Matrix!$C$9:$G$9,1),1),"")</f>
        <v/>
      </c>
      <c r="P186" s="45" t="str">
        <f aca="false">IF(COUNTA($A186:$F186)=0,"",IF(Q186="","Y","N"))</f>
        <v/>
      </c>
      <c r="Q186" s="46" t="str">
        <f aca="false">IF(COUNTA($A186:$F186)=0,"",IF($A186="","ID missing",IF(TRIM($F186)="Exclude","Excluded by plan status",IF(AND(TRIM($F186)&lt;&gt;"",TRIM($F186)&lt;&gt;"Include"),"Plan status not valid (use Include or Exclude)",IF(NOT(ISNUMBER($C186)),"Hire date missing or not a date",IF($C186&gt;Cutoff,"Hired after cutoff",IF(NOT(ISNUMBER($E186)),"Salary missing or not a number",IF($E186&lt;=0,"Salary missing or not a number",IF(OR(NOT(ISNUMBER(I186)),NOT(ISNUMBER(J186)),NOT(ISNUMBER(K186))),"Grade not found in Ranges",IF($D186="","Rating missing",IF($D186="NR","Not rated (NR)",IF(NOT(ISNUMBER(MATCH($D186,Matrix!$A$14:$A$18,0))),"Rating not valid (use 1 to 5 or NR)",IF(NOT(ISNUMBER(O186)),"Band not found (check range and limits)","")))))))))))))</f>
        <v/>
      </c>
      <c r="R186" s="47" t="str">
        <f aca="false">IF($P186="Y",INDEX(Matrix!$C$14:$G$18,MATCH($D186,Matrix!$A$14:$A$18,0),$O186),IF($P186="N",0,""))</f>
        <v/>
      </c>
      <c r="S186" s="47" t="str">
        <f aca="false">IF($P186="Y",IF(AND(ISNUMBER($G186),$G186&gt;=0,$G186&lt;=1),$G186,$R186),IF($P186="N",0,""))</f>
        <v/>
      </c>
      <c r="T186" s="48" t="str">
        <f aca="false">IF($P186&lt;&gt;"Y",IF($P186="N",0,""),IF(ProrateMethod="None",1,IF($C186&lt;=PeriodStart,1,IF(ProrateMethod="Daily",MAX(0,MIN(1,(PeriodEnd-$C186+1)/(PeriodEnd-PeriodStart+1))),MAX(0,MIN(1,((YEAR(PeriodEnd)-YEAR($C186))*12+MONTH(PeriodEnd)-MONTH($C186)+1-IF(DAY($C186)&gt;MonthCutDay,1,0))/PeriodMonths))))))</f>
        <v/>
      </c>
      <c r="U186" s="47" t="str">
        <f aca="false">IF($P186="","",$S186*$T186)</f>
        <v/>
      </c>
      <c r="V186" s="49" t="str">
        <f aca="false">IF($P186="","",IF(ISNUMBER($E186),$E186,0)*$R186)</f>
        <v/>
      </c>
      <c r="W186" s="49" t="str">
        <f aca="false">IF($P186="","",IF(ISNUMBER($E186),$E186,0)*$S186)</f>
        <v/>
      </c>
      <c r="X186" s="49" t="str">
        <f aca="false">IF($P186="","",IF(ISNUMBER($E186),$E186,0)*$U186)</f>
        <v/>
      </c>
      <c r="Y186" s="49" t="str">
        <f aca="false">IF($P186="","",IF(AND(CapAtMax="Yes",$P186="Y"),MAX(0,MIN($X186,$K186-$E186)),$X186))</f>
        <v/>
      </c>
      <c r="Z186" s="41" t="str">
        <f aca="false">IF(OR($P186="",NOT(ISNUMBER($E186))),"",$E186+$Y186)</f>
        <v/>
      </c>
      <c r="AA186" s="42" t="str">
        <f aca="false">IF(AND(ISNUMBER(Z186),ISNUMBER(J186)),IF(J186&gt;0,Z186/J186,""),"")</f>
        <v/>
      </c>
      <c r="AB186" s="46" t="str">
        <f aca="false">IF($P186="","",TRIM(IF(AND($P186="Y",ISNUMBER(K186),ISNUMBER(Z186)),IF(Z186&gt;K186,"Above range max. ",""),"")&amp;IF(AND($P186="Y",ISNUMBER($X186),ISNUMBER($Y186)),IF($X186-$Y186&gt;0.005,"Capped at range max. ",""),"")&amp;IF(AND(AND(ISNUMBER($G186),$G186&gt;=0,$G186&lt;=1),$H186=""),"Override needs a reason. ","")&amp;IF(AND(AND(ISNUMBER($G186),$G186&gt;=0,$G186&lt;=1),$P186&lt;&gt;"Y"),"Override ignored. ","")&amp;IF(AND($G186&lt;&gt;"",NOT(AND(ISNUMBER($G186),$G186&gt;=0,$G186&lt;=1))),"Override not valid, ignored. ","")&amp;IF(AND($A186&lt;&gt;"",COUNTIF($A$5:$A$254,$A186)&gt;1),"Duplicate ID. ","")))</f>
        <v/>
      </c>
    </row>
    <row r="187" customFormat="false" ht="15" hidden="false" customHeight="false" outlineLevel="0" collapsed="false">
      <c r="A187" s="18"/>
      <c r="B187" s="38"/>
      <c r="C187" s="39"/>
      <c r="D187" s="38"/>
      <c r="E187" s="19"/>
      <c r="F187" s="38"/>
      <c r="G187" s="40"/>
      <c r="H187" s="18"/>
      <c r="I187" s="41" t="str">
        <f aca="false">IF(COUNTA($A187:$F187)=0,"",IF($B187="","",IFERROR(INDEX(Ranges!$B$5:$B$16,MATCH($B187,Ranges!$A$5:$A$16,0)),"")))</f>
        <v/>
      </c>
      <c r="J187" s="41" t="str">
        <f aca="false">IF(COUNTA($A187:$F187)=0,"",IF($B187="","",IFERROR(INDEX(Ranges!$C$5:$C$16,MATCH($B187,Ranges!$A$5:$A$16,0)),"")))</f>
        <v/>
      </c>
      <c r="K187" s="41" t="str">
        <f aca="false">IF(COUNTA($A187:$F187)=0,"",IF($B187="","",IFERROR(INDEX(Ranges!$D$5:$D$16,MATCH($B187,Ranges!$A$5:$A$16,0)),"")))</f>
        <v/>
      </c>
      <c r="L187" s="42" t="str">
        <f aca="false">IF(OR(NOT(ISNUMBER($E187)),NOT(ISNUMBER(J187))),"",IF(J187&gt;0,$E187/J187,""))</f>
        <v/>
      </c>
      <c r="M187" s="43" t="str">
        <f aca="false">IF(OR(NOT(ISNUMBER($E187)),NOT(ISNUMBER(I187)),NOT(ISNUMBER(K187))),"",IF(K187&gt;I187,($E187-I187)/(K187-I187),""))</f>
        <v/>
      </c>
      <c r="N187" s="42" t="str">
        <f aca="false">IF(Basis="Compa-ratio",L187,M187)</f>
        <v/>
      </c>
      <c r="O187" s="44" t="str">
        <f aca="false">IF(ISNUMBER(N187),IFERROR(MATCH(N187,Matrix!$C$9:$G$9,1),1),"")</f>
        <v/>
      </c>
      <c r="P187" s="45" t="str">
        <f aca="false">IF(COUNTA($A187:$F187)=0,"",IF(Q187="","Y","N"))</f>
        <v/>
      </c>
      <c r="Q187" s="46" t="str">
        <f aca="false">IF(COUNTA($A187:$F187)=0,"",IF($A187="","ID missing",IF(TRIM($F187)="Exclude","Excluded by plan status",IF(AND(TRIM($F187)&lt;&gt;"",TRIM($F187)&lt;&gt;"Include"),"Plan status not valid (use Include or Exclude)",IF(NOT(ISNUMBER($C187)),"Hire date missing or not a date",IF($C187&gt;Cutoff,"Hired after cutoff",IF(NOT(ISNUMBER($E187)),"Salary missing or not a number",IF($E187&lt;=0,"Salary missing or not a number",IF(OR(NOT(ISNUMBER(I187)),NOT(ISNUMBER(J187)),NOT(ISNUMBER(K187))),"Grade not found in Ranges",IF($D187="","Rating missing",IF($D187="NR","Not rated (NR)",IF(NOT(ISNUMBER(MATCH($D187,Matrix!$A$14:$A$18,0))),"Rating not valid (use 1 to 5 or NR)",IF(NOT(ISNUMBER(O187)),"Band not found (check range and limits)","")))))))))))))</f>
        <v/>
      </c>
      <c r="R187" s="47" t="str">
        <f aca="false">IF($P187="Y",INDEX(Matrix!$C$14:$G$18,MATCH($D187,Matrix!$A$14:$A$18,0),$O187),IF($P187="N",0,""))</f>
        <v/>
      </c>
      <c r="S187" s="47" t="str">
        <f aca="false">IF($P187="Y",IF(AND(ISNUMBER($G187),$G187&gt;=0,$G187&lt;=1),$G187,$R187),IF($P187="N",0,""))</f>
        <v/>
      </c>
      <c r="T187" s="48" t="str">
        <f aca="false">IF($P187&lt;&gt;"Y",IF($P187="N",0,""),IF(ProrateMethod="None",1,IF($C187&lt;=PeriodStart,1,IF(ProrateMethod="Daily",MAX(0,MIN(1,(PeriodEnd-$C187+1)/(PeriodEnd-PeriodStart+1))),MAX(0,MIN(1,((YEAR(PeriodEnd)-YEAR($C187))*12+MONTH(PeriodEnd)-MONTH($C187)+1-IF(DAY($C187)&gt;MonthCutDay,1,0))/PeriodMonths))))))</f>
        <v/>
      </c>
      <c r="U187" s="47" t="str">
        <f aca="false">IF($P187="","",$S187*$T187)</f>
        <v/>
      </c>
      <c r="V187" s="49" t="str">
        <f aca="false">IF($P187="","",IF(ISNUMBER($E187),$E187,0)*$R187)</f>
        <v/>
      </c>
      <c r="W187" s="49" t="str">
        <f aca="false">IF($P187="","",IF(ISNUMBER($E187),$E187,0)*$S187)</f>
        <v/>
      </c>
      <c r="X187" s="49" t="str">
        <f aca="false">IF($P187="","",IF(ISNUMBER($E187),$E187,0)*$U187)</f>
        <v/>
      </c>
      <c r="Y187" s="49" t="str">
        <f aca="false">IF($P187="","",IF(AND(CapAtMax="Yes",$P187="Y"),MAX(0,MIN($X187,$K187-$E187)),$X187))</f>
        <v/>
      </c>
      <c r="Z187" s="41" t="str">
        <f aca="false">IF(OR($P187="",NOT(ISNUMBER($E187))),"",$E187+$Y187)</f>
        <v/>
      </c>
      <c r="AA187" s="42" t="str">
        <f aca="false">IF(AND(ISNUMBER(Z187),ISNUMBER(J187)),IF(J187&gt;0,Z187/J187,""),"")</f>
        <v/>
      </c>
      <c r="AB187" s="46" t="str">
        <f aca="false">IF($P187="","",TRIM(IF(AND($P187="Y",ISNUMBER(K187),ISNUMBER(Z187)),IF(Z187&gt;K187,"Above range max. ",""),"")&amp;IF(AND($P187="Y",ISNUMBER($X187),ISNUMBER($Y187)),IF($X187-$Y187&gt;0.005,"Capped at range max. ",""),"")&amp;IF(AND(AND(ISNUMBER($G187),$G187&gt;=0,$G187&lt;=1),$H187=""),"Override needs a reason. ","")&amp;IF(AND(AND(ISNUMBER($G187),$G187&gt;=0,$G187&lt;=1),$P187&lt;&gt;"Y"),"Override ignored. ","")&amp;IF(AND($G187&lt;&gt;"",NOT(AND(ISNUMBER($G187),$G187&gt;=0,$G187&lt;=1))),"Override not valid, ignored. ","")&amp;IF(AND($A187&lt;&gt;"",COUNTIF($A$5:$A$254,$A187)&gt;1),"Duplicate ID. ","")))</f>
        <v/>
      </c>
    </row>
    <row r="188" customFormat="false" ht="15" hidden="false" customHeight="false" outlineLevel="0" collapsed="false">
      <c r="A188" s="18"/>
      <c r="B188" s="38"/>
      <c r="C188" s="39"/>
      <c r="D188" s="38"/>
      <c r="E188" s="19"/>
      <c r="F188" s="38"/>
      <c r="G188" s="40"/>
      <c r="H188" s="18"/>
      <c r="I188" s="41" t="str">
        <f aca="false">IF(COUNTA($A188:$F188)=0,"",IF($B188="","",IFERROR(INDEX(Ranges!$B$5:$B$16,MATCH($B188,Ranges!$A$5:$A$16,0)),"")))</f>
        <v/>
      </c>
      <c r="J188" s="41" t="str">
        <f aca="false">IF(COUNTA($A188:$F188)=0,"",IF($B188="","",IFERROR(INDEX(Ranges!$C$5:$C$16,MATCH($B188,Ranges!$A$5:$A$16,0)),"")))</f>
        <v/>
      </c>
      <c r="K188" s="41" t="str">
        <f aca="false">IF(COUNTA($A188:$F188)=0,"",IF($B188="","",IFERROR(INDEX(Ranges!$D$5:$D$16,MATCH($B188,Ranges!$A$5:$A$16,0)),"")))</f>
        <v/>
      </c>
      <c r="L188" s="42" t="str">
        <f aca="false">IF(OR(NOT(ISNUMBER($E188)),NOT(ISNUMBER(J188))),"",IF(J188&gt;0,$E188/J188,""))</f>
        <v/>
      </c>
      <c r="M188" s="43" t="str">
        <f aca="false">IF(OR(NOT(ISNUMBER($E188)),NOT(ISNUMBER(I188)),NOT(ISNUMBER(K188))),"",IF(K188&gt;I188,($E188-I188)/(K188-I188),""))</f>
        <v/>
      </c>
      <c r="N188" s="42" t="str">
        <f aca="false">IF(Basis="Compa-ratio",L188,M188)</f>
        <v/>
      </c>
      <c r="O188" s="44" t="str">
        <f aca="false">IF(ISNUMBER(N188),IFERROR(MATCH(N188,Matrix!$C$9:$G$9,1),1),"")</f>
        <v/>
      </c>
      <c r="P188" s="45" t="str">
        <f aca="false">IF(COUNTA($A188:$F188)=0,"",IF(Q188="","Y","N"))</f>
        <v/>
      </c>
      <c r="Q188" s="46" t="str">
        <f aca="false">IF(COUNTA($A188:$F188)=0,"",IF($A188="","ID missing",IF(TRIM($F188)="Exclude","Excluded by plan status",IF(AND(TRIM($F188)&lt;&gt;"",TRIM($F188)&lt;&gt;"Include"),"Plan status not valid (use Include or Exclude)",IF(NOT(ISNUMBER($C188)),"Hire date missing or not a date",IF($C188&gt;Cutoff,"Hired after cutoff",IF(NOT(ISNUMBER($E188)),"Salary missing or not a number",IF($E188&lt;=0,"Salary missing or not a number",IF(OR(NOT(ISNUMBER(I188)),NOT(ISNUMBER(J188)),NOT(ISNUMBER(K188))),"Grade not found in Ranges",IF($D188="","Rating missing",IF($D188="NR","Not rated (NR)",IF(NOT(ISNUMBER(MATCH($D188,Matrix!$A$14:$A$18,0))),"Rating not valid (use 1 to 5 or NR)",IF(NOT(ISNUMBER(O188)),"Band not found (check range and limits)","")))))))))))))</f>
        <v/>
      </c>
      <c r="R188" s="47" t="str">
        <f aca="false">IF($P188="Y",INDEX(Matrix!$C$14:$G$18,MATCH($D188,Matrix!$A$14:$A$18,0),$O188),IF($P188="N",0,""))</f>
        <v/>
      </c>
      <c r="S188" s="47" t="str">
        <f aca="false">IF($P188="Y",IF(AND(ISNUMBER($G188),$G188&gt;=0,$G188&lt;=1),$G188,$R188),IF($P188="N",0,""))</f>
        <v/>
      </c>
      <c r="T188" s="48" t="str">
        <f aca="false">IF($P188&lt;&gt;"Y",IF($P188="N",0,""),IF(ProrateMethod="None",1,IF($C188&lt;=PeriodStart,1,IF(ProrateMethod="Daily",MAX(0,MIN(1,(PeriodEnd-$C188+1)/(PeriodEnd-PeriodStart+1))),MAX(0,MIN(1,((YEAR(PeriodEnd)-YEAR($C188))*12+MONTH(PeriodEnd)-MONTH($C188)+1-IF(DAY($C188)&gt;MonthCutDay,1,0))/PeriodMonths))))))</f>
        <v/>
      </c>
      <c r="U188" s="47" t="str">
        <f aca="false">IF($P188="","",$S188*$T188)</f>
        <v/>
      </c>
      <c r="V188" s="49" t="str">
        <f aca="false">IF($P188="","",IF(ISNUMBER($E188),$E188,0)*$R188)</f>
        <v/>
      </c>
      <c r="W188" s="49" t="str">
        <f aca="false">IF($P188="","",IF(ISNUMBER($E188),$E188,0)*$S188)</f>
        <v/>
      </c>
      <c r="X188" s="49" t="str">
        <f aca="false">IF($P188="","",IF(ISNUMBER($E188),$E188,0)*$U188)</f>
        <v/>
      </c>
      <c r="Y188" s="49" t="str">
        <f aca="false">IF($P188="","",IF(AND(CapAtMax="Yes",$P188="Y"),MAX(0,MIN($X188,$K188-$E188)),$X188))</f>
        <v/>
      </c>
      <c r="Z188" s="41" t="str">
        <f aca="false">IF(OR($P188="",NOT(ISNUMBER($E188))),"",$E188+$Y188)</f>
        <v/>
      </c>
      <c r="AA188" s="42" t="str">
        <f aca="false">IF(AND(ISNUMBER(Z188),ISNUMBER(J188)),IF(J188&gt;0,Z188/J188,""),"")</f>
        <v/>
      </c>
      <c r="AB188" s="46" t="str">
        <f aca="false">IF($P188="","",TRIM(IF(AND($P188="Y",ISNUMBER(K188),ISNUMBER(Z188)),IF(Z188&gt;K188,"Above range max. ",""),"")&amp;IF(AND($P188="Y",ISNUMBER($X188),ISNUMBER($Y188)),IF($X188-$Y188&gt;0.005,"Capped at range max. ",""),"")&amp;IF(AND(AND(ISNUMBER($G188),$G188&gt;=0,$G188&lt;=1),$H188=""),"Override needs a reason. ","")&amp;IF(AND(AND(ISNUMBER($G188),$G188&gt;=0,$G188&lt;=1),$P188&lt;&gt;"Y"),"Override ignored. ","")&amp;IF(AND($G188&lt;&gt;"",NOT(AND(ISNUMBER($G188),$G188&gt;=0,$G188&lt;=1))),"Override not valid, ignored. ","")&amp;IF(AND($A188&lt;&gt;"",COUNTIF($A$5:$A$254,$A188)&gt;1),"Duplicate ID. ","")))</f>
        <v/>
      </c>
    </row>
    <row r="189" customFormat="false" ht="15" hidden="false" customHeight="false" outlineLevel="0" collapsed="false">
      <c r="A189" s="18"/>
      <c r="B189" s="38"/>
      <c r="C189" s="39"/>
      <c r="D189" s="38"/>
      <c r="E189" s="19"/>
      <c r="F189" s="38"/>
      <c r="G189" s="40"/>
      <c r="H189" s="18"/>
      <c r="I189" s="41" t="str">
        <f aca="false">IF(COUNTA($A189:$F189)=0,"",IF($B189="","",IFERROR(INDEX(Ranges!$B$5:$B$16,MATCH($B189,Ranges!$A$5:$A$16,0)),"")))</f>
        <v/>
      </c>
      <c r="J189" s="41" t="str">
        <f aca="false">IF(COUNTA($A189:$F189)=0,"",IF($B189="","",IFERROR(INDEX(Ranges!$C$5:$C$16,MATCH($B189,Ranges!$A$5:$A$16,0)),"")))</f>
        <v/>
      </c>
      <c r="K189" s="41" t="str">
        <f aca="false">IF(COUNTA($A189:$F189)=0,"",IF($B189="","",IFERROR(INDEX(Ranges!$D$5:$D$16,MATCH($B189,Ranges!$A$5:$A$16,0)),"")))</f>
        <v/>
      </c>
      <c r="L189" s="42" t="str">
        <f aca="false">IF(OR(NOT(ISNUMBER($E189)),NOT(ISNUMBER(J189))),"",IF(J189&gt;0,$E189/J189,""))</f>
        <v/>
      </c>
      <c r="M189" s="43" t="str">
        <f aca="false">IF(OR(NOT(ISNUMBER($E189)),NOT(ISNUMBER(I189)),NOT(ISNUMBER(K189))),"",IF(K189&gt;I189,($E189-I189)/(K189-I189),""))</f>
        <v/>
      </c>
      <c r="N189" s="42" t="str">
        <f aca="false">IF(Basis="Compa-ratio",L189,M189)</f>
        <v/>
      </c>
      <c r="O189" s="44" t="str">
        <f aca="false">IF(ISNUMBER(N189),IFERROR(MATCH(N189,Matrix!$C$9:$G$9,1),1),"")</f>
        <v/>
      </c>
      <c r="P189" s="45" t="str">
        <f aca="false">IF(COUNTA($A189:$F189)=0,"",IF(Q189="","Y","N"))</f>
        <v/>
      </c>
      <c r="Q189" s="46" t="str">
        <f aca="false">IF(COUNTA($A189:$F189)=0,"",IF($A189="","ID missing",IF(TRIM($F189)="Exclude","Excluded by plan status",IF(AND(TRIM($F189)&lt;&gt;"",TRIM($F189)&lt;&gt;"Include"),"Plan status not valid (use Include or Exclude)",IF(NOT(ISNUMBER($C189)),"Hire date missing or not a date",IF($C189&gt;Cutoff,"Hired after cutoff",IF(NOT(ISNUMBER($E189)),"Salary missing or not a number",IF($E189&lt;=0,"Salary missing or not a number",IF(OR(NOT(ISNUMBER(I189)),NOT(ISNUMBER(J189)),NOT(ISNUMBER(K189))),"Grade not found in Ranges",IF($D189="","Rating missing",IF($D189="NR","Not rated (NR)",IF(NOT(ISNUMBER(MATCH($D189,Matrix!$A$14:$A$18,0))),"Rating not valid (use 1 to 5 or NR)",IF(NOT(ISNUMBER(O189)),"Band not found (check range and limits)","")))))))))))))</f>
        <v/>
      </c>
      <c r="R189" s="47" t="str">
        <f aca="false">IF($P189="Y",INDEX(Matrix!$C$14:$G$18,MATCH($D189,Matrix!$A$14:$A$18,0),$O189),IF($P189="N",0,""))</f>
        <v/>
      </c>
      <c r="S189" s="47" t="str">
        <f aca="false">IF($P189="Y",IF(AND(ISNUMBER($G189),$G189&gt;=0,$G189&lt;=1),$G189,$R189),IF($P189="N",0,""))</f>
        <v/>
      </c>
      <c r="T189" s="48" t="str">
        <f aca="false">IF($P189&lt;&gt;"Y",IF($P189="N",0,""),IF(ProrateMethod="None",1,IF($C189&lt;=PeriodStart,1,IF(ProrateMethod="Daily",MAX(0,MIN(1,(PeriodEnd-$C189+1)/(PeriodEnd-PeriodStart+1))),MAX(0,MIN(1,((YEAR(PeriodEnd)-YEAR($C189))*12+MONTH(PeriodEnd)-MONTH($C189)+1-IF(DAY($C189)&gt;MonthCutDay,1,0))/PeriodMonths))))))</f>
        <v/>
      </c>
      <c r="U189" s="47" t="str">
        <f aca="false">IF($P189="","",$S189*$T189)</f>
        <v/>
      </c>
      <c r="V189" s="49" t="str">
        <f aca="false">IF($P189="","",IF(ISNUMBER($E189),$E189,0)*$R189)</f>
        <v/>
      </c>
      <c r="W189" s="49" t="str">
        <f aca="false">IF($P189="","",IF(ISNUMBER($E189),$E189,0)*$S189)</f>
        <v/>
      </c>
      <c r="X189" s="49" t="str">
        <f aca="false">IF($P189="","",IF(ISNUMBER($E189),$E189,0)*$U189)</f>
        <v/>
      </c>
      <c r="Y189" s="49" t="str">
        <f aca="false">IF($P189="","",IF(AND(CapAtMax="Yes",$P189="Y"),MAX(0,MIN($X189,$K189-$E189)),$X189))</f>
        <v/>
      </c>
      <c r="Z189" s="41" t="str">
        <f aca="false">IF(OR($P189="",NOT(ISNUMBER($E189))),"",$E189+$Y189)</f>
        <v/>
      </c>
      <c r="AA189" s="42" t="str">
        <f aca="false">IF(AND(ISNUMBER(Z189),ISNUMBER(J189)),IF(J189&gt;0,Z189/J189,""),"")</f>
        <v/>
      </c>
      <c r="AB189" s="46" t="str">
        <f aca="false">IF($P189="","",TRIM(IF(AND($P189="Y",ISNUMBER(K189),ISNUMBER(Z189)),IF(Z189&gt;K189,"Above range max. ",""),"")&amp;IF(AND($P189="Y",ISNUMBER($X189),ISNUMBER($Y189)),IF($X189-$Y189&gt;0.005,"Capped at range max. ",""),"")&amp;IF(AND(AND(ISNUMBER($G189),$G189&gt;=0,$G189&lt;=1),$H189=""),"Override needs a reason. ","")&amp;IF(AND(AND(ISNUMBER($G189),$G189&gt;=0,$G189&lt;=1),$P189&lt;&gt;"Y"),"Override ignored. ","")&amp;IF(AND($G189&lt;&gt;"",NOT(AND(ISNUMBER($G189),$G189&gt;=0,$G189&lt;=1))),"Override not valid, ignored. ","")&amp;IF(AND($A189&lt;&gt;"",COUNTIF($A$5:$A$254,$A189)&gt;1),"Duplicate ID. ","")))</f>
        <v/>
      </c>
    </row>
    <row r="190" customFormat="false" ht="15" hidden="false" customHeight="false" outlineLevel="0" collapsed="false">
      <c r="A190" s="18"/>
      <c r="B190" s="38"/>
      <c r="C190" s="39"/>
      <c r="D190" s="38"/>
      <c r="E190" s="19"/>
      <c r="F190" s="38"/>
      <c r="G190" s="40"/>
      <c r="H190" s="18"/>
      <c r="I190" s="41" t="str">
        <f aca="false">IF(COUNTA($A190:$F190)=0,"",IF($B190="","",IFERROR(INDEX(Ranges!$B$5:$B$16,MATCH($B190,Ranges!$A$5:$A$16,0)),"")))</f>
        <v/>
      </c>
      <c r="J190" s="41" t="str">
        <f aca="false">IF(COUNTA($A190:$F190)=0,"",IF($B190="","",IFERROR(INDEX(Ranges!$C$5:$C$16,MATCH($B190,Ranges!$A$5:$A$16,0)),"")))</f>
        <v/>
      </c>
      <c r="K190" s="41" t="str">
        <f aca="false">IF(COUNTA($A190:$F190)=0,"",IF($B190="","",IFERROR(INDEX(Ranges!$D$5:$D$16,MATCH($B190,Ranges!$A$5:$A$16,0)),"")))</f>
        <v/>
      </c>
      <c r="L190" s="42" t="str">
        <f aca="false">IF(OR(NOT(ISNUMBER($E190)),NOT(ISNUMBER(J190))),"",IF(J190&gt;0,$E190/J190,""))</f>
        <v/>
      </c>
      <c r="M190" s="43" t="str">
        <f aca="false">IF(OR(NOT(ISNUMBER($E190)),NOT(ISNUMBER(I190)),NOT(ISNUMBER(K190))),"",IF(K190&gt;I190,($E190-I190)/(K190-I190),""))</f>
        <v/>
      </c>
      <c r="N190" s="42" t="str">
        <f aca="false">IF(Basis="Compa-ratio",L190,M190)</f>
        <v/>
      </c>
      <c r="O190" s="44" t="str">
        <f aca="false">IF(ISNUMBER(N190),IFERROR(MATCH(N190,Matrix!$C$9:$G$9,1),1),"")</f>
        <v/>
      </c>
      <c r="P190" s="45" t="str">
        <f aca="false">IF(COUNTA($A190:$F190)=0,"",IF(Q190="","Y","N"))</f>
        <v/>
      </c>
      <c r="Q190" s="46" t="str">
        <f aca="false">IF(COUNTA($A190:$F190)=0,"",IF($A190="","ID missing",IF(TRIM($F190)="Exclude","Excluded by plan status",IF(AND(TRIM($F190)&lt;&gt;"",TRIM($F190)&lt;&gt;"Include"),"Plan status not valid (use Include or Exclude)",IF(NOT(ISNUMBER($C190)),"Hire date missing or not a date",IF($C190&gt;Cutoff,"Hired after cutoff",IF(NOT(ISNUMBER($E190)),"Salary missing or not a number",IF($E190&lt;=0,"Salary missing or not a number",IF(OR(NOT(ISNUMBER(I190)),NOT(ISNUMBER(J190)),NOT(ISNUMBER(K190))),"Grade not found in Ranges",IF($D190="","Rating missing",IF($D190="NR","Not rated (NR)",IF(NOT(ISNUMBER(MATCH($D190,Matrix!$A$14:$A$18,0))),"Rating not valid (use 1 to 5 or NR)",IF(NOT(ISNUMBER(O190)),"Band not found (check range and limits)","")))))))))))))</f>
        <v/>
      </c>
      <c r="R190" s="47" t="str">
        <f aca="false">IF($P190="Y",INDEX(Matrix!$C$14:$G$18,MATCH($D190,Matrix!$A$14:$A$18,0),$O190),IF($P190="N",0,""))</f>
        <v/>
      </c>
      <c r="S190" s="47" t="str">
        <f aca="false">IF($P190="Y",IF(AND(ISNUMBER($G190),$G190&gt;=0,$G190&lt;=1),$G190,$R190),IF($P190="N",0,""))</f>
        <v/>
      </c>
      <c r="T190" s="48" t="str">
        <f aca="false">IF($P190&lt;&gt;"Y",IF($P190="N",0,""),IF(ProrateMethod="None",1,IF($C190&lt;=PeriodStart,1,IF(ProrateMethod="Daily",MAX(0,MIN(1,(PeriodEnd-$C190+1)/(PeriodEnd-PeriodStart+1))),MAX(0,MIN(1,((YEAR(PeriodEnd)-YEAR($C190))*12+MONTH(PeriodEnd)-MONTH($C190)+1-IF(DAY($C190)&gt;MonthCutDay,1,0))/PeriodMonths))))))</f>
        <v/>
      </c>
      <c r="U190" s="47" t="str">
        <f aca="false">IF($P190="","",$S190*$T190)</f>
        <v/>
      </c>
      <c r="V190" s="49" t="str">
        <f aca="false">IF($P190="","",IF(ISNUMBER($E190),$E190,0)*$R190)</f>
        <v/>
      </c>
      <c r="W190" s="49" t="str">
        <f aca="false">IF($P190="","",IF(ISNUMBER($E190),$E190,0)*$S190)</f>
        <v/>
      </c>
      <c r="X190" s="49" t="str">
        <f aca="false">IF($P190="","",IF(ISNUMBER($E190),$E190,0)*$U190)</f>
        <v/>
      </c>
      <c r="Y190" s="49" t="str">
        <f aca="false">IF($P190="","",IF(AND(CapAtMax="Yes",$P190="Y"),MAX(0,MIN($X190,$K190-$E190)),$X190))</f>
        <v/>
      </c>
      <c r="Z190" s="41" t="str">
        <f aca="false">IF(OR($P190="",NOT(ISNUMBER($E190))),"",$E190+$Y190)</f>
        <v/>
      </c>
      <c r="AA190" s="42" t="str">
        <f aca="false">IF(AND(ISNUMBER(Z190),ISNUMBER(J190)),IF(J190&gt;0,Z190/J190,""),"")</f>
        <v/>
      </c>
      <c r="AB190" s="46" t="str">
        <f aca="false">IF($P190="","",TRIM(IF(AND($P190="Y",ISNUMBER(K190),ISNUMBER(Z190)),IF(Z190&gt;K190,"Above range max. ",""),"")&amp;IF(AND($P190="Y",ISNUMBER($X190),ISNUMBER($Y190)),IF($X190-$Y190&gt;0.005,"Capped at range max. ",""),"")&amp;IF(AND(AND(ISNUMBER($G190),$G190&gt;=0,$G190&lt;=1),$H190=""),"Override needs a reason. ","")&amp;IF(AND(AND(ISNUMBER($G190),$G190&gt;=0,$G190&lt;=1),$P190&lt;&gt;"Y"),"Override ignored. ","")&amp;IF(AND($G190&lt;&gt;"",NOT(AND(ISNUMBER($G190),$G190&gt;=0,$G190&lt;=1))),"Override not valid, ignored. ","")&amp;IF(AND($A190&lt;&gt;"",COUNTIF($A$5:$A$254,$A190)&gt;1),"Duplicate ID. ","")))</f>
        <v/>
      </c>
    </row>
    <row r="191" customFormat="false" ht="15" hidden="false" customHeight="false" outlineLevel="0" collapsed="false">
      <c r="A191" s="18"/>
      <c r="B191" s="38"/>
      <c r="C191" s="39"/>
      <c r="D191" s="38"/>
      <c r="E191" s="19"/>
      <c r="F191" s="38"/>
      <c r="G191" s="40"/>
      <c r="H191" s="18"/>
      <c r="I191" s="41" t="str">
        <f aca="false">IF(COUNTA($A191:$F191)=0,"",IF($B191="","",IFERROR(INDEX(Ranges!$B$5:$B$16,MATCH($B191,Ranges!$A$5:$A$16,0)),"")))</f>
        <v/>
      </c>
      <c r="J191" s="41" t="str">
        <f aca="false">IF(COUNTA($A191:$F191)=0,"",IF($B191="","",IFERROR(INDEX(Ranges!$C$5:$C$16,MATCH($B191,Ranges!$A$5:$A$16,0)),"")))</f>
        <v/>
      </c>
      <c r="K191" s="41" t="str">
        <f aca="false">IF(COUNTA($A191:$F191)=0,"",IF($B191="","",IFERROR(INDEX(Ranges!$D$5:$D$16,MATCH($B191,Ranges!$A$5:$A$16,0)),"")))</f>
        <v/>
      </c>
      <c r="L191" s="42" t="str">
        <f aca="false">IF(OR(NOT(ISNUMBER($E191)),NOT(ISNUMBER(J191))),"",IF(J191&gt;0,$E191/J191,""))</f>
        <v/>
      </c>
      <c r="M191" s="43" t="str">
        <f aca="false">IF(OR(NOT(ISNUMBER($E191)),NOT(ISNUMBER(I191)),NOT(ISNUMBER(K191))),"",IF(K191&gt;I191,($E191-I191)/(K191-I191),""))</f>
        <v/>
      </c>
      <c r="N191" s="42" t="str">
        <f aca="false">IF(Basis="Compa-ratio",L191,M191)</f>
        <v/>
      </c>
      <c r="O191" s="44" t="str">
        <f aca="false">IF(ISNUMBER(N191),IFERROR(MATCH(N191,Matrix!$C$9:$G$9,1),1),"")</f>
        <v/>
      </c>
      <c r="P191" s="45" t="str">
        <f aca="false">IF(COUNTA($A191:$F191)=0,"",IF(Q191="","Y","N"))</f>
        <v/>
      </c>
      <c r="Q191" s="46" t="str">
        <f aca="false">IF(COUNTA($A191:$F191)=0,"",IF($A191="","ID missing",IF(TRIM($F191)="Exclude","Excluded by plan status",IF(AND(TRIM($F191)&lt;&gt;"",TRIM($F191)&lt;&gt;"Include"),"Plan status not valid (use Include or Exclude)",IF(NOT(ISNUMBER($C191)),"Hire date missing or not a date",IF($C191&gt;Cutoff,"Hired after cutoff",IF(NOT(ISNUMBER($E191)),"Salary missing or not a number",IF($E191&lt;=0,"Salary missing or not a number",IF(OR(NOT(ISNUMBER(I191)),NOT(ISNUMBER(J191)),NOT(ISNUMBER(K191))),"Grade not found in Ranges",IF($D191="","Rating missing",IF($D191="NR","Not rated (NR)",IF(NOT(ISNUMBER(MATCH($D191,Matrix!$A$14:$A$18,0))),"Rating not valid (use 1 to 5 or NR)",IF(NOT(ISNUMBER(O191)),"Band not found (check range and limits)","")))))))))))))</f>
        <v/>
      </c>
      <c r="R191" s="47" t="str">
        <f aca="false">IF($P191="Y",INDEX(Matrix!$C$14:$G$18,MATCH($D191,Matrix!$A$14:$A$18,0),$O191),IF($P191="N",0,""))</f>
        <v/>
      </c>
      <c r="S191" s="47" t="str">
        <f aca="false">IF($P191="Y",IF(AND(ISNUMBER($G191),$G191&gt;=0,$G191&lt;=1),$G191,$R191),IF($P191="N",0,""))</f>
        <v/>
      </c>
      <c r="T191" s="48" t="str">
        <f aca="false">IF($P191&lt;&gt;"Y",IF($P191="N",0,""),IF(ProrateMethod="None",1,IF($C191&lt;=PeriodStart,1,IF(ProrateMethod="Daily",MAX(0,MIN(1,(PeriodEnd-$C191+1)/(PeriodEnd-PeriodStart+1))),MAX(0,MIN(1,((YEAR(PeriodEnd)-YEAR($C191))*12+MONTH(PeriodEnd)-MONTH($C191)+1-IF(DAY($C191)&gt;MonthCutDay,1,0))/PeriodMonths))))))</f>
        <v/>
      </c>
      <c r="U191" s="47" t="str">
        <f aca="false">IF($P191="","",$S191*$T191)</f>
        <v/>
      </c>
      <c r="V191" s="49" t="str">
        <f aca="false">IF($P191="","",IF(ISNUMBER($E191),$E191,0)*$R191)</f>
        <v/>
      </c>
      <c r="W191" s="49" t="str">
        <f aca="false">IF($P191="","",IF(ISNUMBER($E191),$E191,0)*$S191)</f>
        <v/>
      </c>
      <c r="X191" s="49" t="str">
        <f aca="false">IF($P191="","",IF(ISNUMBER($E191),$E191,0)*$U191)</f>
        <v/>
      </c>
      <c r="Y191" s="49" t="str">
        <f aca="false">IF($P191="","",IF(AND(CapAtMax="Yes",$P191="Y"),MAX(0,MIN($X191,$K191-$E191)),$X191))</f>
        <v/>
      </c>
      <c r="Z191" s="41" t="str">
        <f aca="false">IF(OR($P191="",NOT(ISNUMBER($E191))),"",$E191+$Y191)</f>
        <v/>
      </c>
      <c r="AA191" s="42" t="str">
        <f aca="false">IF(AND(ISNUMBER(Z191),ISNUMBER(J191)),IF(J191&gt;0,Z191/J191,""),"")</f>
        <v/>
      </c>
      <c r="AB191" s="46" t="str">
        <f aca="false">IF($P191="","",TRIM(IF(AND($P191="Y",ISNUMBER(K191),ISNUMBER(Z191)),IF(Z191&gt;K191,"Above range max. ",""),"")&amp;IF(AND($P191="Y",ISNUMBER($X191),ISNUMBER($Y191)),IF($X191-$Y191&gt;0.005,"Capped at range max. ",""),"")&amp;IF(AND(AND(ISNUMBER($G191),$G191&gt;=0,$G191&lt;=1),$H191=""),"Override needs a reason. ","")&amp;IF(AND(AND(ISNUMBER($G191),$G191&gt;=0,$G191&lt;=1),$P191&lt;&gt;"Y"),"Override ignored. ","")&amp;IF(AND($G191&lt;&gt;"",NOT(AND(ISNUMBER($G191),$G191&gt;=0,$G191&lt;=1))),"Override not valid, ignored. ","")&amp;IF(AND($A191&lt;&gt;"",COUNTIF($A$5:$A$254,$A191)&gt;1),"Duplicate ID. ","")))</f>
        <v/>
      </c>
    </row>
    <row r="192" customFormat="false" ht="15" hidden="false" customHeight="false" outlineLevel="0" collapsed="false">
      <c r="A192" s="18"/>
      <c r="B192" s="38"/>
      <c r="C192" s="39"/>
      <c r="D192" s="38"/>
      <c r="E192" s="19"/>
      <c r="F192" s="38"/>
      <c r="G192" s="40"/>
      <c r="H192" s="18"/>
      <c r="I192" s="41" t="str">
        <f aca="false">IF(COUNTA($A192:$F192)=0,"",IF($B192="","",IFERROR(INDEX(Ranges!$B$5:$B$16,MATCH($B192,Ranges!$A$5:$A$16,0)),"")))</f>
        <v/>
      </c>
      <c r="J192" s="41" t="str">
        <f aca="false">IF(COUNTA($A192:$F192)=0,"",IF($B192="","",IFERROR(INDEX(Ranges!$C$5:$C$16,MATCH($B192,Ranges!$A$5:$A$16,0)),"")))</f>
        <v/>
      </c>
      <c r="K192" s="41" t="str">
        <f aca="false">IF(COUNTA($A192:$F192)=0,"",IF($B192="","",IFERROR(INDEX(Ranges!$D$5:$D$16,MATCH($B192,Ranges!$A$5:$A$16,0)),"")))</f>
        <v/>
      </c>
      <c r="L192" s="42" t="str">
        <f aca="false">IF(OR(NOT(ISNUMBER($E192)),NOT(ISNUMBER(J192))),"",IF(J192&gt;0,$E192/J192,""))</f>
        <v/>
      </c>
      <c r="M192" s="43" t="str">
        <f aca="false">IF(OR(NOT(ISNUMBER($E192)),NOT(ISNUMBER(I192)),NOT(ISNUMBER(K192))),"",IF(K192&gt;I192,($E192-I192)/(K192-I192),""))</f>
        <v/>
      </c>
      <c r="N192" s="42" t="str">
        <f aca="false">IF(Basis="Compa-ratio",L192,M192)</f>
        <v/>
      </c>
      <c r="O192" s="44" t="str">
        <f aca="false">IF(ISNUMBER(N192),IFERROR(MATCH(N192,Matrix!$C$9:$G$9,1),1),"")</f>
        <v/>
      </c>
      <c r="P192" s="45" t="str">
        <f aca="false">IF(COUNTA($A192:$F192)=0,"",IF(Q192="","Y","N"))</f>
        <v/>
      </c>
      <c r="Q192" s="46" t="str">
        <f aca="false">IF(COUNTA($A192:$F192)=0,"",IF($A192="","ID missing",IF(TRIM($F192)="Exclude","Excluded by plan status",IF(AND(TRIM($F192)&lt;&gt;"",TRIM($F192)&lt;&gt;"Include"),"Plan status not valid (use Include or Exclude)",IF(NOT(ISNUMBER($C192)),"Hire date missing or not a date",IF($C192&gt;Cutoff,"Hired after cutoff",IF(NOT(ISNUMBER($E192)),"Salary missing or not a number",IF($E192&lt;=0,"Salary missing or not a number",IF(OR(NOT(ISNUMBER(I192)),NOT(ISNUMBER(J192)),NOT(ISNUMBER(K192))),"Grade not found in Ranges",IF($D192="","Rating missing",IF($D192="NR","Not rated (NR)",IF(NOT(ISNUMBER(MATCH($D192,Matrix!$A$14:$A$18,0))),"Rating not valid (use 1 to 5 or NR)",IF(NOT(ISNUMBER(O192)),"Band not found (check range and limits)","")))))))))))))</f>
        <v/>
      </c>
      <c r="R192" s="47" t="str">
        <f aca="false">IF($P192="Y",INDEX(Matrix!$C$14:$G$18,MATCH($D192,Matrix!$A$14:$A$18,0),$O192),IF($P192="N",0,""))</f>
        <v/>
      </c>
      <c r="S192" s="47" t="str">
        <f aca="false">IF($P192="Y",IF(AND(ISNUMBER($G192),$G192&gt;=0,$G192&lt;=1),$G192,$R192),IF($P192="N",0,""))</f>
        <v/>
      </c>
      <c r="T192" s="48" t="str">
        <f aca="false">IF($P192&lt;&gt;"Y",IF($P192="N",0,""),IF(ProrateMethod="None",1,IF($C192&lt;=PeriodStart,1,IF(ProrateMethod="Daily",MAX(0,MIN(1,(PeriodEnd-$C192+1)/(PeriodEnd-PeriodStart+1))),MAX(0,MIN(1,((YEAR(PeriodEnd)-YEAR($C192))*12+MONTH(PeriodEnd)-MONTH($C192)+1-IF(DAY($C192)&gt;MonthCutDay,1,0))/PeriodMonths))))))</f>
        <v/>
      </c>
      <c r="U192" s="47" t="str">
        <f aca="false">IF($P192="","",$S192*$T192)</f>
        <v/>
      </c>
      <c r="V192" s="49" t="str">
        <f aca="false">IF($P192="","",IF(ISNUMBER($E192),$E192,0)*$R192)</f>
        <v/>
      </c>
      <c r="W192" s="49" t="str">
        <f aca="false">IF($P192="","",IF(ISNUMBER($E192),$E192,0)*$S192)</f>
        <v/>
      </c>
      <c r="X192" s="49" t="str">
        <f aca="false">IF($P192="","",IF(ISNUMBER($E192),$E192,0)*$U192)</f>
        <v/>
      </c>
      <c r="Y192" s="49" t="str">
        <f aca="false">IF($P192="","",IF(AND(CapAtMax="Yes",$P192="Y"),MAX(0,MIN($X192,$K192-$E192)),$X192))</f>
        <v/>
      </c>
      <c r="Z192" s="41" t="str">
        <f aca="false">IF(OR($P192="",NOT(ISNUMBER($E192))),"",$E192+$Y192)</f>
        <v/>
      </c>
      <c r="AA192" s="42" t="str">
        <f aca="false">IF(AND(ISNUMBER(Z192),ISNUMBER(J192)),IF(J192&gt;0,Z192/J192,""),"")</f>
        <v/>
      </c>
      <c r="AB192" s="46" t="str">
        <f aca="false">IF($P192="","",TRIM(IF(AND($P192="Y",ISNUMBER(K192),ISNUMBER(Z192)),IF(Z192&gt;K192,"Above range max. ",""),"")&amp;IF(AND($P192="Y",ISNUMBER($X192),ISNUMBER($Y192)),IF($X192-$Y192&gt;0.005,"Capped at range max. ",""),"")&amp;IF(AND(AND(ISNUMBER($G192),$G192&gt;=0,$G192&lt;=1),$H192=""),"Override needs a reason. ","")&amp;IF(AND(AND(ISNUMBER($G192),$G192&gt;=0,$G192&lt;=1),$P192&lt;&gt;"Y"),"Override ignored. ","")&amp;IF(AND($G192&lt;&gt;"",NOT(AND(ISNUMBER($G192),$G192&gt;=0,$G192&lt;=1))),"Override not valid, ignored. ","")&amp;IF(AND($A192&lt;&gt;"",COUNTIF($A$5:$A$254,$A192)&gt;1),"Duplicate ID. ","")))</f>
        <v/>
      </c>
    </row>
    <row r="193" customFormat="false" ht="15" hidden="false" customHeight="false" outlineLevel="0" collapsed="false">
      <c r="A193" s="18"/>
      <c r="B193" s="38"/>
      <c r="C193" s="39"/>
      <c r="D193" s="38"/>
      <c r="E193" s="19"/>
      <c r="F193" s="38"/>
      <c r="G193" s="40"/>
      <c r="H193" s="18"/>
      <c r="I193" s="41" t="str">
        <f aca="false">IF(COUNTA($A193:$F193)=0,"",IF($B193="","",IFERROR(INDEX(Ranges!$B$5:$B$16,MATCH($B193,Ranges!$A$5:$A$16,0)),"")))</f>
        <v/>
      </c>
      <c r="J193" s="41" t="str">
        <f aca="false">IF(COUNTA($A193:$F193)=0,"",IF($B193="","",IFERROR(INDEX(Ranges!$C$5:$C$16,MATCH($B193,Ranges!$A$5:$A$16,0)),"")))</f>
        <v/>
      </c>
      <c r="K193" s="41" t="str">
        <f aca="false">IF(COUNTA($A193:$F193)=0,"",IF($B193="","",IFERROR(INDEX(Ranges!$D$5:$D$16,MATCH($B193,Ranges!$A$5:$A$16,0)),"")))</f>
        <v/>
      </c>
      <c r="L193" s="42" t="str">
        <f aca="false">IF(OR(NOT(ISNUMBER($E193)),NOT(ISNUMBER(J193))),"",IF(J193&gt;0,$E193/J193,""))</f>
        <v/>
      </c>
      <c r="M193" s="43" t="str">
        <f aca="false">IF(OR(NOT(ISNUMBER($E193)),NOT(ISNUMBER(I193)),NOT(ISNUMBER(K193))),"",IF(K193&gt;I193,($E193-I193)/(K193-I193),""))</f>
        <v/>
      </c>
      <c r="N193" s="42" t="str">
        <f aca="false">IF(Basis="Compa-ratio",L193,M193)</f>
        <v/>
      </c>
      <c r="O193" s="44" t="str">
        <f aca="false">IF(ISNUMBER(N193),IFERROR(MATCH(N193,Matrix!$C$9:$G$9,1),1),"")</f>
        <v/>
      </c>
      <c r="P193" s="45" t="str">
        <f aca="false">IF(COUNTA($A193:$F193)=0,"",IF(Q193="","Y","N"))</f>
        <v/>
      </c>
      <c r="Q193" s="46" t="str">
        <f aca="false">IF(COUNTA($A193:$F193)=0,"",IF($A193="","ID missing",IF(TRIM($F193)="Exclude","Excluded by plan status",IF(AND(TRIM($F193)&lt;&gt;"",TRIM($F193)&lt;&gt;"Include"),"Plan status not valid (use Include or Exclude)",IF(NOT(ISNUMBER($C193)),"Hire date missing or not a date",IF($C193&gt;Cutoff,"Hired after cutoff",IF(NOT(ISNUMBER($E193)),"Salary missing or not a number",IF($E193&lt;=0,"Salary missing or not a number",IF(OR(NOT(ISNUMBER(I193)),NOT(ISNUMBER(J193)),NOT(ISNUMBER(K193))),"Grade not found in Ranges",IF($D193="","Rating missing",IF($D193="NR","Not rated (NR)",IF(NOT(ISNUMBER(MATCH($D193,Matrix!$A$14:$A$18,0))),"Rating not valid (use 1 to 5 or NR)",IF(NOT(ISNUMBER(O193)),"Band not found (check range and limits)","")))))))))))))</f>
        <v/>
      </c>
      <c r="R193" s="47" t="str">
        <f aca="false">IF($P193="Y",INDEX(Matrix!$C$14:$G$18,MATCH($D193,Matrix!$A$14:$A$18,0),$O193),IF($P193="N",0,""))</f>
        <v/>
      </c>
      <c r="S193" s="47" t="str">
        <f aca="false">IF($P193="Y",IF(AND(ISNUMBER($G193),$G193&gt;=0,$G193&lt;=1),$G193,$R193),IF($P193="N",0,""))</f>
        <v/>
      </c>
      <c r="T193" s="48" t="str">
        <f aca="false">IF($P193&lt;&gt;"Y",IF($P193="N",0,""),IF(ProrateMethod="None",1,IF($C193&lt;=PeriodStart,1,IF(ProrateMethod="Daily",MAX(0,MIN(1,(PeriodEnd-$C193+1)/(PeriodEnd-PeriodStart+1))),MAX(0,MIN(1,((YEAR(PeriodEnd)-YEAR($C193))*12+MONTH(PeriodEnd)-MONTH($C193)+1-IF(DAY($C193)&gt;MonthCutDay,1,0))/PeriodMonths))))))</f>
        <v/>
      </c>
      <c r="U193" s="47" t="str">
        <f aca="false">IF($P193="","",$S193*$T193)</f>
        <v/>
      </c>
      <c r="V193" s="49" t="str">
        <f aca="false">IF($P193="","",IF(ISNUMBER($E193),$E193,0)*$R193)</f>
        <v/>
      </c>
      <c r="W193" s="49" t="str">
        <f aca="false">IF($P193="","",IF(ISNUMBER($E193),$E193,0)*$S193)</f>
        <v/>
      </c>
      <c r="X193" s="49" t="str">
        <f aca="false">IF($P193="","",IF(ISNUMBER($E193),$E193,0)*$U193)</f>
        <v/>
      </c>
      <c r="Y193" s="49" t="str">
        <f aca="false">IF($P193="","",IF(AND(CapAtMax="Yes",$P193="Y"),MAX(0,MIN($X193,$K193-$E193)),$X193))</f>
        <v/>
      </c>
      <c r="Z193" s="41" t="str">
        <f aca="false">IF(OR($P193="",NOT(ISNUMBER($E193))),"",$E193+$Y193)</f>
        <v/>
      </c>
      <c r="AA193" s="42" t="str">
        <f aca="false">IF(AND(ISNUMBER(Z193),ISNUMBER(J193)),IF(J193&gt;0,Z193/J193,""),"")</f>
        <v/>
      </c>
      <c r="AB193" s="46" t="str">
        <f aca="false">IF($P193="","",TRIM(IF(AND($P193="Y",ISNUMBER(K193),ISNUMBER(Z193)),IF(Z193&gt;K193,"Above range max. ",""),"")&amp;IF(AND($P193="Y",ISNUMBER($X193),ISNUMBER($Y193)),IF($X193-$Y193&gt;0.005,"Capped at range max. ",""),"")&amp;IF(AND(AND(ISNUMBER($G193),$G193&gt;=0,$G193&lt;=1),$H193=""),"Override needs a reason. ","")&amp;IF(AND(AND(ISNUMBER($G193),$G193&gt;=0,$G193&lt;=1),$P193&lt;&gt;"Y"),"Override ignored. ","")&amp;IF(AND($G193&lt;&gt;"",NOT(AND(ISNUMBER($G193),$G193&gt;=0,$G193&lt;=1))),"Override not valid, ignored. ","")&amp;IF(AND($A193&lt;&gt;"",COUNTIF($A$5:$A$254,$A193)&gt;1),"Duplicate ID. ","")))</f>
        <v/>
      </c>
    </row>
    <row r="194" customFormat="false" ht="15" hidden="false" customHeight="false" outlineLevel="0" collapsed="false">
      <c r="A194" s="18"/>
      <c r="B194" s="38"/>
      <c r="C194" s="39"/>
      <c r="D194" s="38"/>
      <c r="E194" s="19"/>
      <c r="F194" s="38"/>
      <c r="G194" s="40"/>
      <c r="H194" s="18"/>
      <c r="I194" s="41" t="str">
        <f aca="false">IF(COUNTA($A194:$F194)=0,"",IF($B194="","",IFERROR(INDEX(Ranges!$B$5:$B$16,MATCH($B194,Ranges!$A$5:$A$16,0)),"")))</f>
        <v/>
      </c>
      <c r="J194" s="41" t="str">
        <f aca="false">IF(COUNTA($A194:$F194)=0,"",IF($B194="","",IFERROR(INDEX(Ranges!$C$5:$C$16,MATCH($B194,Ranges!$A$5:$A$16,0)),"")))</f>
        <v/>
      </c>
      <c r="K194" s="41" t="str">
        <f aca="false">IF(COUNTA($A194:$F194)=0,"",IF($B194="","",IFERROR(INDEX(Ranges!$D$5:$D$16,MATCH($B194,Ranges!$A$5:$A$16,0)),"")))</f>
        <v/>
      </c>
      <c r="L194" s="42" t="str">
        <f aca="false">IF(OR(NOT(ISNUMBER($E194)),NOT(ISNUMBER(J194))),"",IF(J194&gt;0,$E194/J194,""))</f>
        <v/>
      </c>
      <c r="M194" s="43" t="str">
        <f aca="false">IF(OR(NOT(ISNUMBER($E194)),NOT(ISNUMBER(I194)),NOT(ISNUMBER(K194))),"",IF(K194&gt;I194,($E194-I194)/(K194-I194),""))</f>
        <v/>
      </c>
      <c r="N194" s="42" t="str">
        <f aca="false">IF(Basis="Compa-ratio",L194,M194)</f>
        <v/>
      </c>
      <c r="O194" s="44" t="str">
        <f aca="false">IF(ISNUMBER(N194),IFERROR(MATCH(N194,Matrix!$C$9:$G$9,1),1),"")</f>
        <v/>
      </c>
      <c r="P194" s="45" t="str">
        <f aca="false">IF(COUNTA($A194:$F194)=0,"",IF(Q194="","Y","N"))</f>
        <v/>
      </c>
      <c r="Q194" s="46" t="str">
        <f aca="false">IF(COUNTA($A194:$F194)=0,"",IF($A194="","ID missing",IF(TRIM($F194)="Exclude","Excluded by plan status",IF(AND(TRIM($F194)&lt;&gt;"",TRIM($F194)&lt;&gt;"Include"),"Plan status not valid (use Include or Exclude)",IF(NOT(ISNUMBER($C194)),"Hire date missing or not a date",IF($C194&gt;Cutoff,"Hired after cutoff",IF(NOT(ISNUMBER($E194)),"Salary missing or not a number",IF($E194&lt;=0,"Salary missing or not a number",IF(OR(NOT(ISNUMBER(I194)),NOT(ISNUMBER(J194)),NOT(ISNUMBER(K194))),"Grade not found in Ranges",IF($D194="","Rating missing",IF($D194="NR","Not rated (NR)",IF(NOT(ISNUMBER(MATCH($D194,Matrix!$A$14:$A$18,0))),"Rating not valid (use 1 to 5 or NR)",IF(NOT(ISNUMBER(O194)),"Band not found (check range and limits)","")))))))))))))</f>
        <v/>
      </c>
      <c r="R194" s="47" t="str">
        <f aca="false">IF($P194="Y",INDEX(Matrix!$C$14:$G$18,MATCH($D194,Matrix!$A$14:$A$18,0),$O194),IF($P194="N",0,""))</f>
        <v/>
      </c>
      <c r="S194" s="47" t="str">
        <f aca="false">IF($P194="Y",IF(AND(ISNUMBER($G194),$G194&gt;=0,$G194&lt;=1),$G194,$R194),IF($P194="N",0,""))</f>
        <v/>
      </c>
      <c r="T194" s="48" t="str">
        <f aca="false">IF($P194&lt;&gt;"Y",IF($P194="N",0,""),IF(ProrateMethod="None",1,IF($C194&lt;=PeriodStart,1,IF(ProrateMethod="Daily",MAX(0,MIN(1,(PeriodEnd-$C194+1)/(PeriodEnd-PeriodStart+1))),MAX(0,MIN(1,((YEAR(PeriodEnd)-YEAR($C194))*12+MONTH(PeriodEnd)-MONTH($C194)+1-IF(DAY($C194)&gt;MonthCutDay,1,0))/PeriodMonths))))))</f>
        <v/>
      </c>
      <c r="U194" s="47" t="str">
        <f aca="false">IF($P194="","",$S194*$T194)</f>
        <v/>
      </c>
      <c r="V194" s="49" t="str">
        <f aca="false">IF($P194="","",IF(ISNUMBER($E194),$E194,0)*$R194)</f>
        <v/>
      </c>
      <c r="W194" s="49" t="str">
        <f aca="false">IF($P194="","",IF(ISNUMBER($E194),$E194,0)*$S194)</f>
        <v/>
      </c>
      <c r="X194" s="49" t="str">
        <f aca="false">IF($P194="","",IF(ISNUMBER($E194),$E194,0)*$U194)</f>
        <v/>
      </c>
      <c r="Y194" s="49" t="str">
        <f aca="false">IF($P194="","",IF(AND(CapAtMax="Yes",$P194="Y"),MAX(0,MIN($X194,$K194-$E194)),$X194))</f>
        <v/>
      </c>
      <c r="Z194" s="41" t="str">
        <f aca="false">IF(OR($P194="",NOT(ISNUMBER($E194))),"",$E194+$Y194)</f>
        <v/>
      </c>
      <c r="AA194" s="42" t="str">
        <f aca="false">IF(AND(ISNUMBER(Z194),ISNUMBER(J194)),IF(J194&gt;0,Z194/J194,""),"")</f>
        <v/>
      </c>
      <c r="AB194" s="46" t="str">
        <f aca="false">IF($P194="","",TRIM(IF(AND($P194="Y",ISNUMBER(K194),ISNUMBER(Z194)),IF(Z194&gt;K194,"Above range max. ",""),"")&amp;IF(AND($P194="Y",ISNUMBER($X194),ISNUMBER($Y194)),IF($X194-$Y194&gt;0.005,"Capped at range max. ",""),"")&amp;IF(AND(AND(ISNUMBER($G194),$G194&gt;=0,$G194&lt;=1),$H194=""),"Override needs a reason. ","")&amp;IF(AND(AND(ISNUMBER($G194),$G194&gt;=0,$G194&lt;=1),$P194&lt;&gt;"Y"),"Override ignored. ","")&amp;IF(AND($G194&lt;&gt;"",NOT(AND(ISNUMBER($G194),$G194&gt;=0,$G194&lt;=1))),"Override not valid, ignored. ","")&amp;IF(AND($A194&lt;&gt;"",COUNTIF($A$5:$A$254,$A194)&gt;1),"Duplicate ID. ","")))</f>
        <v/>
      </c>
    </row>
    <row r="195" customFormat="false" ht="15" hidden="false" customHeight="false" outlineLevel="0" collapsed="false">
      <c r="A195" s="18"/>
      <c r="B195" s="38"/>
      <c r="C195" s="39"/>
      <c r="D195" s="38"/>
      <c r="E195" s="19"/>
      <c r="F195" s="38"/>
      <c r="G195" s="40"/>
      <c r="H195" s="18"/>
      <c r="I195" s="41" t="str">
        <f aca="false">IF(COUNTA($A195:$F195)=0,"",IF($B195="","",IFERROR(INDEX(Ranges!$B$5:$B$16,MATCH($B195,Ranges!$A$5:$A$16,0)),"")))</f>
        <v/>
      </c>
      <c r="J195" s="41" t="str">
        <f aca="false">IF(COUNTA($A195:$F195)=0,"",IF($B195="","",IFERROR(INDEX(Ranges!$C$5:$C$16,MATCH($B195,Ranges!$A$5:$A$16,0)),"")))</f>
        <v/>
      </c>
      <c r="K195" s="41" t="str">
        <f aca="false">IF(COUNTA($A195:$F195)=0,"",IF($B195="","",IFERROR(INDEX(Ranges!$D$5:$D$16,MATCH($B195,Ranges!$A$5:$A$16,0)),"")))</f>
        <v/>
      </c>
      <c r="L195" s="42" t="str">
        <f aca="false">IF(OR(NOT(ISNUMBER($E195)),NOT(ISNUMBER(J195))),"",IF(J195&gt;0,$E195/J195,""))</f>
        <v/>
      </c>
      <c r="M195" s="43" t="str">
        <f aca="false">IF(OR(NOT(ISNUMBER($E195)),NOT(ISNUMBER(I195)),NOT(ISNUMBER(K195))),"",IF(K195&gt;I195,($E195-I195)/(K195-I195),""))</f>
        <v/>
      </c>
      <c r="N195" s="42" t="str">
        <f aca="false">IF(Basis="Compa-ratio",L195,M195)</f>
        <v/>
      </c>
      <c r="O195" s="44" t="str">
        <f aca="false">IF(ISNUMBER(N195),IFERROR(MATCH(N195,Matrix!$C$9:$G$9,1),1),"")</f>
        <v/>
      </c>
      <c r="P195" s="45" t="str">
        <f aca="false">IF(COUNTA($A195:$F195)=0,"",IF(Q195="","Y","N"))</f>
        <v/>
      </c>
      <c r="Q195" s="46" t="str">
        <f aca="false">IF(COUNTA($A195:$F195)=0,"",IF($A195="","ID missing",IF(TRIM($F195)="Exclude","Excluded by plan status",IF(AND(TRIM($F195)&lt;&gt;"",TRIM($F195)&lt;&gt;"Include"),"Plan status not valid (use Include or Exclude)",IF(NOT(ISNUMBER($C195)),"Hire date missing or not a date",IF($C195&gt;Cutoff,"Hired after cutoff",IF(NOT(ISNUMBER($E195)),"Salary missing or not a number",IF($E195&lt;=0,"Salary missing or not a number",IF(OR(NOT(ISNUMBER(I195)),NOT(ISNUMBER(J195)),NOT(ISNUMBER(K195))),"Grade not found in Ranges",IF($D195="","Rating missing",IF($D195="NR","Not rated (NR)",IF(NOT(ISNUMBER(MATCH($D195,Matrix!$A$14:$A$18,0))),"Rating not valid (use 1 to 5 or NR)",IF(NOT(ISNUMBER(O195)),"Band not found (check range and limits)","")))))))))))))</f>
        <v/>
      </c>
      <c r="R195" s="47" t="str">
        <f aca="false">IF($P195="Y",INDEX(Matrix!$C$14:$G$18,MATCH($D195,Matrix!$A$14:$A$18,0),$O195),IF($P195="N",0,""))</f>
        <v/>
      </c>
      <c r="S195" s="47" t="str">
        <f aca="false">IF($P195="Y",IF(AND(ISNUMBER($G195),$G195&gt;=0,$G195&lt;=1),$G195,$R195),IF($P195="N",0,""))</f>
        <v/>
      </c>
      <c r="T195" s="48" t="str">
        <f aca="false">IF($P195&lt;&gt;"Y",IF($P195="N",0,""),IF(ProrateMethod="None",1,IF($C195&lt;=PeriodStart,1,IF(ProrateMethod="Daily",MAX(0,MIN(1,(PeriodEnd-$C195+1)/(PeriodEnd-PeriodStart+1))),MAX(0,MIN(1,((YEAR(PeriodEnd)-YEAR($C195))*12+MONTH(PeriodEnd)-MONTH($C195)+1-IF(DAY($C195)&gt;MonthCutDay,1,0))/PeriodMonths))))))</f>
        <v/>
      </c>
      <c r="U195" s="47" t="str">
        <f aca="false">IF($P195="","",$S195*$T195)</f>
        <v/>
      </c>
      <c r="V195" s="49" t="str">
        <f aca="false">IF($P195="","",IF(ISNUMBER($E195),$E195,0)*$R195)</f>
        <v/>
      </c>
      <c r="W195" s="49" t="str">
        <f aca="false">IF($P195="","",IF(ISNUMBER($E195),$E195,0)*$S195)</f>
        <v/>
      </c>
      <c r="X195" s="49" t="str">
        <f aca="false">IF($P195="","",IF(ISNUMBER($E195),$E195,0)*$U195)</f>
        <v/>
      </c>
      <c r="Y195" s="49" t="str">
        <f aca="false">IF($P195="","",IF(AND(CapAtMax="Yes",$P195="Y"),MAX(0,MIN($X195,$K195-$E195)),$X195))</f>
        <v/>
      </c>
      <c r="Z195" s="41" t="str">
        <f aca="false">IF(OR($P195="",NOT(ISNUMBER($E195))),"",$E195+$Y195)</f>
        <v/>
      </c>
      <c r="AA195" s="42" t="str">
        <f aca="false">IF(AND(ISNUMBER(Z195),ISNUMBER(J195)),IF(J195&gt;0,Z195/J195,""),"")</f>
        <v/>
      </c>
      <c r="AB195" s="46" t="str">
        <f aca="false">IF($P195="","",TRIM(IF(AND($P195="Y",ISNUMBER(K195),ISNUMBER(Z195)),IF(Z195&gt;K195,"Above range max. ",""),"")&amp;IF(AND($P195="Y",ISNUMBER($X195),ISNUMBER($Y195)),IF($X195-$Y195&gt;0.005,"Capped at range max. ",""),"")&amp;IF(AND(AND(ISNUMBER($G195),$G195&gt;=0,$G195&lt;=1),$H195=""),"Override needs a reason. ","")&amp;IF(AND(AND(ISNUMBER($G195),$G195&gt;=0,$G195&lt;=1),$P195&lt;&gt;"Y"),"Override ignored. ","")&amp;IF(AND($G195&lt;&gt;"",NOT(AND(ISNUMBER($G195),$G195&gt;=0,$G195&lt;=1))),"Override not valid, ignored. ","")&amp;IF(AND($A195&lt;&gt;"",COUNTIF($A$5:$A$254,$A195)&gt;1),"Duplicate ID. ","")))</f>
        <v/>
      </c>
    </row>
    <row r="196" customFormat="false" ht="15" hidden="false" customHeight="false" outlineLevel="0" collapsed="false">
      <c r="A196" s="18"/>
      <c r="B196" s="38"/>
      <c r="C196" s="39"/>
      <c r="D196" s="38"/>
      <c r="E196" s="19"/>
      <c r="F196" s="38"/>
      <c r="G196" s="40"/>
      <c r="H196" s="18"/>
      <c r="I196" s="41" t="str">
        <f aca="false">IF(COUNTA($A196:$F196)=0,"",IF($B196="","",IFERROR(INDEX(Ranges!$B$5:$B$16,MATCH($B196,Ranges!$A$5:$A$16,0)),"")))</f>
        <v/>
      </c>
      <c r="J196" s="41" t="str">
        <f aca="false">IF(COUNTA($A196:$F196)=0,"",IF($B196="","",IFERROR(INDEX(Ranges!$C$5:$C$16,MATCH($B196,Ranges!$A$5:$A$16,0)),"")))</f>
        <v/>
      </c>
      <c r="K196" s="41" t="str">
        <f aca="false">IF(COUNTA($A196:$F196)=0,"",IF($B196="","",IFERROR(INDEX(Ranges!$D$5:$D$16,MATCH($B196,Ranges!$A$5:$A$16,0)),"")))</f>
        <v/>
      </c>
      <c r="L196" s="42" t="str">
        <f aca="false">IF(OR(NOT(ISNUMBER($E196)),NOT(ISNUMBER(J196))),"",IF(J196&gt;0,$E196/J196,""))</f>
        <v/>
      </c>
      <c r="M196" s="43" t="str">
        <f aca="false">IF(OR(NOT(ISNUMBER($E196)),NOT(ISNUMBER(I196)),NOT(ISNUMBER(K196))),"",IF(K196&gt;I196,($E196-I196)/(K196-I196),""))</f>
        <v/>
      </c>
      <c r="N196" s="42" t="str">
        <f aca="false">IF(Basis="Compa-ratio",L196,M196)</f>
        <v/>
      </c>
      <c r="O196" s="44" t="str">
        <f aca="false">IF(ISNUMBER(N196),IFERROR(MATCH(N196,Matrix!$C$9:$G$9,1),1),"")</f>
        <v/>
      </c>
      <c r="P196" s="45" t="str">
        <f aca="false">IF(COUNTA($A196:$F196)=0,"",IF(Q196="","Y","N"))</f>
        <v/>
      </c>
      <c r="Q196" s="46" t="str">
        <f aca="false">IF(COUNTA($A196:$F196)=0,"",IF($A196="","ID missing",IF(TRIM($F196)="Exclude","Excluded by plan status",IF(AND(TRIM($F196)&lt;&gt;"",TRIM($F196)&lt;&gt;"Include"),"Plan status not valid (use Include or Exclude)",IF(NOT(ISNUMBER($C196)),"Hire date missing or not a date",IF($C196&gt;Cutoff,"Hired after cutoff",IF(NOT(ISNUMBER($E196)),"Salary missing or not a number",IF($E196&lt;=0,"Salary missing or not a number",IF(OR(NOT(ISNUMBER(I196)),NOT(ISNUMBER(J196)),NOT(ISNUMBER(K196))),"Grade not found in Ranges",IF($D196="","Rating missing",IF($D196="NR","Not rated (NR)",IF(NOT(ISNUMBER(MATCH($D196,Matrix!$A$14:$A$18,0))),"Rating not valid (use 1 to 5 or NR)",IF(NOT(ISNUMBER(O196)),"Band not found (check range and limits)","")))))))))))))</f>
        <v/>
      </c>
      <c r="R196" s="47" t="str">
        <f aca="false">IF($P196="Y",INDEX(Matrix!$C$14:$G$18,MATCH($D196,Matrix!$A$14:$A$18,0),$O196),IF($P196="N",0,""))</f>
        <v/>
      </c>
      <c r="S196" s="47" t="str">
        <f aca="false">IF($P196="Y",IF(AND(ISNUMBER($G196),$G196&gt;=0,$G196&lt;=1),$G196,$R196),IF($P196="N",0,""))</f>
        <v/>
      </c>
      <c r="T196" s="48" t="str">
        <f aca="false">IF($P196&lt;&gt;"Y",IF($P196="N",0,""),IF(ProrateMethod="None",1,IF($C196&lt;=PeriodStart,1,IF(ProrateMethod="Daily",MAX(0,MIN(1,(PeriodEnd-$C196+1)/(PeriodEnd-PeriodStart+1))),MAX(0,MIN(1,((YEAR(PeriodEnd)-YEAR($C196))*12+MONTH(PeriodEnd)-MONTH($C196)+1-IF(DAY($C196)&gt;MonthCutDay,1,0))/PeriodMonths))))))</f>
        <v/>
      </c>
      <c r="U196" s="47" t="str">
        <f aca="false">IF($P196="","",$S196*$T196)</f>
        <v/>
      </c>
      <c r="V196" s="49" t="str">
        <f aca="false">IF($P196="","",IF(ISNUMBER($E196),$E196,0)*$R196)</f>
        <v/>
      </c>
      <c r="W196" s="49" t="str">
        <f aca="false">IF($P196="","",IF(ISNUMBER($E196),$E196,0)*$S196)</f>
        <v/>
      </c>
      <c r="X196" s="49" t="str">
        <f aca="false">IF($P196="","",IF(ISNUMBER($E196),$E196,0)*$U196)</f>
        <v/>
      </c>
      <c r="Y196" s="49" t="str">
        <f aca="false">IF($P196="","",IF(AND(CapAtMax="Yes",$P196="Y"),MAX(0,MIN($X196,$K196-$E196)),$X196))</f>
        <v/>
      </c>
      <c r="Z196" s="41" t="str">
        <f aca="false">IF(OR($P196="",NOT(ISNUMBER($E196))),"",$E196+$Y196)</f>
        <v/>
      </c>
      <c r="AA196" s="42" t="str">
        <f aca="false">IF(AND(ISNUMBER(Z196),ISNUMBER(J196)),IF(J196&gt;0,Z196/J196,""),"")</f>
        <v/>
      </c>
      <c r="AB196" s="46" t="str">
        <f aca="false">IF($P196="","",TRIM(IF(AND($P196="Y",ISNUMBER(K196),ISNUMBER(Z196)),IF(Z196&gt;K196,"Above range max. ",""),"")&amp;IF(AND($P196="Y",ISNUMBER($X196),ISNUMBER($Y196)),IF($X196-$Y196&gt;0.005,"Capped at range max. ",""),"")&amp;IF(AND(AND(ISNUMBER($G196),$G196&gt;=0,$G196&lt;=1),$H196=""),"Override needs a reason. ","")&amp;IF(AND(AND(ISNUMBER($G196),$G196&gt;=0,$G196&lt;=1),$P196&lt;&gt;"Y"),"Override ignored. ","")&amp;IF(AND($G196&lt;&gt;"",NOT(AND(ISNUMBER($G196),$G196&gt;=0,$G196&lt;=1))),"Override not valid, ignored. ","")&amp;IF(AND($A196&lt;&gt;"",COUNTIF($A$5:$A$254,$A196)&gt;1),"Duplicate ID. ","")))</f>
        <v/>
      </c>
    </row>
    <row r="197" customFormat="false" ht="15" hidden="false" customHeight="false" outlineLevel="0" collapsed="false">
      <c r="A197" s="18"/>
      <c r="B197" s="38"/>
      <c r="C197" s="39"/>
      <c r="D197" s="38"/>
      <c r="E197" s="19"/>
      <c r="F197" s="38"/>
      <c r="G197" s="40"/>
      <c r="H197" s="18"/>
      <c r="I197" s="41" t="str">
        <f aca="false">IF(COUNTA($A197:$F197)=0,"",IF($B197="","",IFERROR(INDEX(Ranges!$B$5:$B$16,MATCH($B197,Ranges!$A$5:$A$16,0)),"")))</f>
        <v/>
      </c>
      <c r="J197" s="41" t="str">
        <f aca="false">IF(COUNTA($A197:$F197)=0,"",IF($B197="","",IFERROR(INDEX(Ranges!$C$5:$C$16,MATCH($B197,Ranges!$A$5:$A$16,0)),"")))</f>
        <v/>
      </c>
      <c r="K197" s="41" t="str">
        <f aca="false">IF(COUNTA($A197:$F197)=0,"",IF($B197="","",IFERROR(INDEX(Ranges!$D$5:$D$16,MATCH($B197,Ranges!$A$5:$A$16,0)),"")))</f>
        <v/>
      </c>
      <c r="L197" s="42" t="str">
        <f aca="false">IF(OR(NOT(ISNUMBER($E197)),NOT(ISNUMBER(J197))),"",IF(J197&gt;0,$E197/J197,""))</f>
        <v/>
      </c>
      <c r="M197" s="43" t="str">
        <f aca="false">IF(OR(NOT(ISNUMBER($E197)),NOT(ISNUMBER(I197)),NOT(ISNUMBER(K197))),"",IF(K197&gt;I197,($E197-I197)/(K197-I197),""))</f>
        <v/>
      </c>
      <c r="N197" s="42" t="str">
        <f aca="false">IF(Basis="Compa-ratio",L197,M197)</f>
        <v/>
      </c>
      <c r="O197" s="44" t="str">
        <f aca="false">IF(ISNUMBER(N197),IFERROR(MATCH(N197,Matrix!$C$9:$G$9,1),1),"")</f>
        <v/>
      </c>
      <c r="P197" s="45" t="str">
        <f aca="false">IF(COUNTA($A197:$F197)=0,"",IF(Q197="","Y","N"))</f>
        <v/>
      </c>
      <c r="Q197" s="46" t="str">
        <f aca="false">IF(COUNTA($A197:$F197)=0,"",IF($A197="","ID missing",IF(TRIM($F197)="Exclude","Excluded by plan status",IF(AND(TRIM($F197)&lt;&gt;"",TRIM($F197)&lt;&gt;"Include"),"Plan status not valid (use Include or Exclude)",IF(NOT(ISNUMBER($C197)),"Hire date missing or not a date",IF($C197&gt;Cutoff,"Hired after cutoff",IF(NOT(ISNUMBER($E197)),"Salary missing or not a number",IF($E197&lt;=0,"Salary missing or not a number",IF(OR(NOT(ISNUMBER(I197)),NOT(ISNUMBER(J197)),NOT(ISNUMBER(K197))),"Grade not found in Ranges",IF($D197="","Rating missing",IF($D197="NR","Not rated (NR)",IF(NOT(ISNUMBER(MATCH($D197,Matrix!$A$14:$A$18,0))),"Rating not valid (use 1 to 5 or NR)",IF(NOT(ISNUMBER(O197)),"Band not found (check range and limits)","")))))))))))))</f>
        <v/>
      </c>
      <c r="R197" s="47" t="str">
        <f aca="false">IF($P197="Y",INDEX(Matrix!$C$14:$G$18,MATCH($D197,Matrix!$A$14:$A$18,0),$O197),IF($P197="N",0,""))</f>
        <v/>
      </c>
      <c r="S197" s="47" t="str">
        <f aca="false">IF($P197="Y",IF(AND(ISNUMBER($G197),$G197&gt;=0,$G197&lt;=1),$G197,$R197),IF($P197="N",0,""))</f>
        <v/>
      </c>
      <c r="T197" s="48" t="str">
        <f aca="false">IF($P197&lt;&gt;"Y",IF($P197="N",0,""),IF(ProrateMethod="None",1,IF($C197&lt;=PeriodStart,1,IF(ProrateMethod="Daily",MAX(0,MIN(1,(PeriodEnd-$C197+1)/(PeriodEnd-PeriodStart+1))),MAX(0,MIN(1,((YEAR(PeriodEnd)-YEAR($C197))*12+MONTH(PeriodEnd)-MONTH($C197)+1-IF(DAY($C197)&gt;MonthCutDay,1,0))/PeriodMonths))))))</f>
        <v/>
      </c>
      <c r="U197" s="47" t="str">
        <f aca="false">IF($P197="","",$S197*$T197)</f>
        <v/>
      </c>
      <c r="V197" s="49" t="str">
        <f aca="false">IF($P197="","",IF(ISNUMBER($E197),$E197,0)*$R197)</f>
        <v/>
      </c>
      <c r="W197" s="49" t="str">
        <f aca="false">IF($P197="","",IF(ISNUMBER($E197),$E197,0)*$S197)</f>
        <v/>
      </c>
      <c r="X197" s="49" t="str">
        <f aca="false">IF($P197="","",IF(ISNUMBER($E197),$E197,0)*$U197)</f>
        <v/>
      </c>
      <c r="Y197" s="49" t="str">
        <f aca="false">IF($P197="","",IF(AND(CapAtMax="Yes",$P197="Y"),MAX(0,MIN($X197,$K197-$E197)),$X197))</f>
        <v/>
      </c>
      <c r="Z197" s="41" t="str">
        <f aca="false">IF(OR($P197="",NOT(ISNUMBER($E197))),"",$E197+$Y197)</f>
        <v/>
      </c>
      <c r="AA197" s="42" t="str">
        <f aca="false">IF(AND(ISNUMBER(Z197),ISNUMBER(J197)),IF(J197&gt;0,Z197/J197,""),"")</f>
        <v/>
      </c>
      <c r="AB197" s="46" t="str">
        <f aca="false">IF($P197="","",TRIM(IF(AND($P197="Y",ISNUMBER(K197),ISNUMBER(Z197)),IF(Z197&gt;K197,"Above range max. ",""),"")&amp;IF(AND($P197="Y",ISNUMBER($X197),ISNUMBER($Y197)),IF($X197-$Y197&gt;0.005,"Capped at range max. ",""),"")&amp;IF(AND(AND(ISNUMBER($G197),$G197&gt;=0,$G197&lt;=1),$H197=""),"Override needs a reason. ","")&amp;IF(AND(AND(ISNUMBER($G197),$G197&gt;=0,$G197&lt;=1),$P197&lt;&gt;"Y"),"Override ignored. ","")&amp;IF(AND($G197&lt;&gt;"",NOT(AND(ISNUMBER($G197),$G197&gt;=0,$G197&lt;=1))),"Override not valid, ignored. ","")&amp;IF(AND($A197&lt;&gt;"",COUNTIF($A$5:$A$254,$A197)&gt;1),"Duplicate ID. ","")))</f>
        <v/>
      </c>
    </row>
    <row r="198" customFormat="false" ht="15" hidden="false" customHeight="false" outlineLevel="0" collapsed="false">
      <c r="A198" s="18"/>
      <c r="B198" s="38"/>
      <c r="C198" s="39"/>
      <c r="D198" s="38"/>
      <c r="E198" s="19"/>
      <c r="F198" s="38"/>
      <c r="G198" s="40"/>
      <c r="H198" s="18"/>
      <c r="I198" s="41" t="str">
        <f aca="false">IF(COUNTA($A198:$F198)=0,"",IF($B198="","",IFERROR(INDEX(Ranges!$B$5:$B$16,MATCH($B198,Ranges!$A$5:$A$16,0)),"")))</f>
        <v/>
      </c>
      <c r="J198" s="41" t="str">
        <f aca="false">IF(COUNTA($A198:$F198)=0,"",IF($B198="","",IFERROR(INDEX(Ranges!$C$5:$C$16,MATCH($B198,Ranges!$A$5:$A$16,0)),"")))</f>
        <v/>
      </c>
      <c r="K198" s="41" t="str">
        <f aca="false">IF(COUNTA($A198:$F198)=0,"",IF($B198="","",IFERROR(INDEX(Ranges!$D$5:$D$16,MATCH($B198,Ranges!$A$5:$A$16,0)),"")))</f>
        <v/>
      </c>
      <c r="L198" s="42" t="str">
        <f aca="false">IF(OR(NOT(ISNUMBER($E198)),NOT(ISNUMBER(J198))),"",IF(J198&gt;0,$E198/J198,""))</f>
        <v/>
      </c>
      <c r="M198" s="43" t="str">
        <f aca="false">IF(OR(NOT(ISNUMBER($E198)),NOT(ISNUMBER(I198)),NOT(ISNUMBER(K198))),"",IF(K198&gt;I198,($E198-I198)/(K198-I198),""))</f>
        <v/>
      </c>
      <c r="N198" s="42" t="str">
        <f aca="false">IF(Basis="Compa-ratio",L198,M198)</f>
        <v/>
      </c>
      <c r="O198" s="44" t="str">
        <f aca="false">IF(ISNUMBER(N198),IFERROR(MATCH(N198,Matrix!$C$9:$G$9,1),1),"")</f>
        <v/>
      </c>
      <c r="P198" s="45" t="str">
        <f aca="false">IF(COUNTA($A198:$F198)=0,"",IF(Q198="","Y","N"))</f>
        <v/>
      </c>
      <c r="Q198" s="46" t="str">
        <f aca="false">IF(COUNTA($A198:$F198)=0,"",IF($A198="","ID missing",IF(TRIM($F198)="Exclude","Excluded by plan status",IF(AND(TRIM($F198)&lt;&gt;"",TRIM($F198)&lt;&gt;"Include"),"Plan status not valid (use Include or Exclude)",IF(NOT(ISNUMBER($C198)),"Hire date missing or not a date",IF($C198&gt;Cutoff,"Hired after cutoff",IF(NOT(ISNUMBER($E198)),"Salary missing or not a number",IF($E198&lt;=0,"Salary missing or not a number",IF(OR(NOT(ISNUMBER(I198)),NOT(ISNUMBER(J198)),NOT(ISNUMBER(K198))),"Grade not found in Ranges",IF($D198="","Rating missing",IF($D198="NR","Not rated (NR)",IF(NOT(ISNUMBER(MATCH($D198,Matrix!$A$14:$A$18,0))),"Rating not valid (use 1 to 5 or NR)",IF(NOT(ISNUMBER(O198)),"Band not found (check range and limits)","")))))))))))))</f>
        <v/>
      </c>
      <c r="R198" s="47" t="str">
        <f aca="false">IF($P198="Y",INDEX(Matrix!$C$14:$G$18,MATCH($D198,Matrix!$A$14:$A$18,0),$O198),IF($P198="N",0,""))</f>
        <v/>
      </c>
      <c r="S198" s="47" t="str">
        <f aca="false">IF($P198="Y",IF(AND(ISNUMBER($G198),$G198&gt;=0,$G198&lt;=1),$G198,$R198),IF($P198="N",0,""))</f>
        <v/>
      </c>
      <c r="T198" s="48" t="str">
        <f aca="false">IF($P198&lt;&gt;"Y",IF($P198="N",0,""),IF(ProrateMethod="None",1,IF($C198&lt;=PeriodStart,1,IF(ProrateMethod="Daily",MAX(0,MIN(1,(PeriodEnd-$C198+1)/(PeriodEnd-PeriodStart+1))),MAX(0,MIN(1,((YEAR(PeriodEnd)-YEAR($C198))*12+MONTH(PeriodEnd)-MONTH($C198)+1-IF(DAY($C198)&gt;MonthCutDay,1,0))/PeriodMonths))))))</f>
        <v/>
      </c>
      <c r="U198" s="47" t="str">
        <f aca="false">IF($P198="","",$S198*$T198)</f>
        <v/>
      </c>
      <c r="V198" s="49" t="str">
        <f aca="false">IF($P198="","",IF(ISNUMBER($E198),$E198,0)*$R198)</f>
        <v/>
      </c>
      <c r="W198" s="49" t="str">
        <f aca="false">IF($P198="","",IF(ISNUMBER($E198),$E198,0)*$S198)</f>
        <v/>
      </c>
      <c r="X198" s="49" t="str">
        <f aca="false">IF($P198="","",IF(ISNUMBER($E198),$E198,0)*$U198)</f>
        <v/>
      </c>
      <c r="Y198" s="49" t="str">
        <f aca="false">IF($P198="","",IF(AND(CapAtMax="Yes",$P198="Y"),MAX(0,MIN($X198,$K198-$E198)),$X198))</f>
        <v/>
      </c>
      <c r="Z198" s="41" t="str">
        <f aca="false">IF(OR($P198="",NOT(ISNUMBER($E198))),"",$E198+$Y198)</f>
        <v/>
      </c>
      <c r="AA198" s="42" t="str">
        <f aca="false">IF(AND(ISNUMBER(Z198),ISNUMBER(J198)),IF(J198&gt;0,Z198/J198,""),"")</f>
        <v/>
      </c>
      <c r="AB198" s="46" t="str">
        <f aca="false">IF($P198="","",TRIM(IF(AND($P198="Y",ISNUMBER(K198),ISNUMBER(Z198)),IF(Z198&gt;K198,"Above range max. ",""),"")&amp;IF(AND($P198="Y",ISNUMBER($X198),ISNUMBER($Y198)),IF($X198-$Y198&gt;0.005,"Capped at range max. ",""),"")&amp;IF(AND(AND(ISNUMBER($G198),$G198&gt;=0,$G198&lt;=1),$H198=""),"Override needs a reason. ","")&amp;IF(AND(AND(ISNUMBER($G198),$G198&gt;=0,$G198&lt;=1),$P198&lt;&gt;"Y"),"Override ignored. ","")&amp;IF(AND($G198&lt;&gt;"",NOT(AND(ISNUMBER($G198),$G198&gt;=0,$G198&lt;=1))),"Override not valid, ignored. ","")&amp;IF(AND($A198&lt;&gt;"",COUNTIF($A$5:$A$254,$A198)&gt;1),"Duplicate ID. ","")))</f>
        <v/>
      </c>
    </row>
    <row r="199" customFormat="false" ht="15" hidden="false" customHeight="false" outlineLevel="0" collapsed="false">
      <c r="A199" s="18"/>
      <c r="B199" s="38"/>
      <c r="C199" s="39"/>
      <c r="D199" s="38"/>
      <c r="E199" s="19"/>
      <c r="F199" s="38"/>
      <c r="G199" s="40"/>
      <c r="H199" s="18"/>
      <c r="I199" s="41" t="str">
        <f aca="false">IF(COUNTA($A199:$F199)=0,"",IF($B199="","",IFERROR(INDEX(Ranges!$B$5:$B$16,MATCH($B199,Ranges!$A$5:$A$16,0)),"")))</f>
        <v/>
      </c>
      <c r="J199" s="41" t="str">
        <f aca="false">IF(COUNTA($A199:$F199)=0,"",IF($B199="","",IFERROR(INDEX(Ranges!$C$5:$C$16,MATCH($B199,Ranges!$A$5:$A$16,0)),"")))</f>
        <v/>
      </c>
      <c r="K199" s="41" t="str">
        <f aca="false">IF(COUNTA($A199:$F199)=0,"",IF($B199="","",IFERROR(INDEX(Ranges!$D$5:$D$16,MATCH($B199,Ranges!$A$5:$A$16,0)),"")))</f>
        <v/>
      </c>
      <c r="L199" s="42" t="str">
        <f aca="false">IF(OR(NOT(ISNUMBER($E199)),NOT(ISNUMBER(J199))),"",IF(J199&gt;0,$E199/J199,""))</f>
        <v/>
      </c>
      <c r="M199" s="43" t="str">
        <f aca="false">IF(OR(NOT(ISNUMBER($E199)),NOT(ISNUMBER(I199)),NOT(ISNUMBER(K199))),"",IF(K199&gt;I199,($E199-I199)/(K199-I199),""))</f>
        <v/>
      </c>
      <c r="N199" s="42" t="str">
        <f aca="false">IF(Basis="Compa-ratio",L199,M199)</f>
        <v/>
      </c>
      <c r="O199" s="44" t="str">
        <f aca="false">IF(ISNUMBER(N199),IFERROR(MATCH(N199,Matrix!$C$9:$G$9,1),1),"")</f>
        <v/>
      </c>
      <c r="P199" s="45" t="str">
        <f aca="false">IF(COUNTA($A199:$F199)=0,"",IF(Q199="","Y","N"))</f>
        <v/>
      </c>
      <c r="Q199" s="46" t="str">
        <f aca="false">IF(COUNTA($A199:$F199)=0,"",IF($A199="","ID missing",IF(TRIM($F199)="Exclude","Excluded by plan status",IF(AND(TRIM($F199)&lt;&gt;"",TRIM($F199)&lt;&gt;"Include"),"Plan status not valid (use Include or Exclude)",IF(NOT(ISNUMBER($C199)),"Hire date missing or not a date",IF($C199&gt;Cutoff,"Hired after cutoff",IF(NOT(ISNUMBER($E199)),"Salary missing or not a number",IF($E199&lt;=0,"Salary missing or not a number",IF(OR(NOT(ISNUMBER(I199)),NOT(ISNUMBER(J199)),NOT(ISNUMBER(K199))),"Grade not found in Ranges",IF($D199="","Rating missing",IF($D199="NR","Not rated (NR)",IF(NOT(ISNUMBER(MATCH($D199,Matrix!$A$14:$A$18,0))),"Rating not valid (use 1 to 5 or NR)",IF(NOT(ISNUMBER(O199)),"Band not found (check range and limits)","")))))))))))))</f>
        <v/>
      </c>
      <c r="R199" s="47" t="str">
        <f aca="false">IF($P199="Y",INDEX(Matrix!$C$14:$G$18,MATCH($D199,Matrix!$A$14:$A$18,0),$O199),IF($P199="N",0,""))</f>
        <v/>
      </c>
      <c r="S199" s="47" t="str">
        <f aca="false">IF($P199="Y",IF(AND(ISNUMBER($G199),$G199&gt;=0,$G199&lt;=1),$G199,$R199),IF($P199="N",0,""))</f>
        <v/>
      </c>
      <c r="T199" s="48" t="str">
        <f aca="false">IF($P199&lt;&gt;"Y",IF($P199="N",0,""),IF(ProrateMethod="None",1,IF($C199&lt;=PeriodStart,1,IF(ProrateMethod="Daily",MAX(0,MIN(1,(PeriodEnd-$C199+1)/(PeriodEnd-PeriodStart+1))),MAX(0,MIN(1,((YEAR(PeriodEnd)-YEAR($C199))*12+MONTH(PeriodEnd)-MONTH($C199)+1-IF(DAY($C199)&gt;MonthCutDay,1,0))/PeriodMonths))))))</f>
        <v/>
      </c>
      <c r="U199" s="47" t="str">
        <f aca="false">IF($P199="","",$S199*$T199)</f>
        <v/>
      </c>
      <c r="V199" s="49" t="str">
        <f aca="false">IF($P199="","",IF(ISNUMBER($E199),$E199,0)*$R199)</f>
        <v/>
      </c>
      <c r="W199" s="49" t="str">
        <f aca="false">IF($P199="","",IF(ISNUMBER($E199),$E199,0)*$S199)</f>
        <v/>
      </c>
      <c r="X199" s="49" t="str">
        <f aca="false">IF($P199="","",IF(ISNUMBER($E199),$E199,0)*$U199)</f>
        <v/>
      </c>
      <c r="Y199" s="49" t="str">
        <f aca="false">IF($P199="","",IF(AND(CapAtMax="Yes",$P199="Y"),MAX(0,MIN($X199,$K199-$E199)),$X199))</f>
        <v/>
      </c>
      <c r="Z199" s="41" t="str">
        <f aca="false">IF(OR($P199="",NOT(ISNUMBER($E199))),"",$E199+$Y199)</f>
        <v/>
      </c>
      <c r="AA199" s="42" t="str">
        <f aca="false">IF(AND(ISNUMBER(Z199),ISNUMBER(J199)),IF(J199&gt;0,Z199/J199,""),"")</f>
        <v/>
      </c>
      <c r="AB199" s="46" t="str">
        <f aca="false">IF($P199="","",TRIM(IF(AND($P199="Y",ISNUMBER(K199),ISNUMBER(Z199)),IF(Z199&gt;K199,"Above range max. ",""),"")&amp;IF(AND($P199="Y",ISNUMBER($X199),ISNUMBER($Y199)),IF($X199-$Y199&gt;0.005,"Capped at range max. ",""),"")&amp;IF(AND(AND(ISNUMBER($G199),$G199&gt;=0,$G199&lt;=1),$H199=""),"Override needs a reason. ","")&amp;IF(AND(AND(ISNUMBER($G199),$G199&gt;=0,$G199&lt;=1),$P199&lt;&gt;"Y"),"Override ignored. ","")&amp;IF(AND($G199&lt;&gt;"",NOT(AND(ISNUMBER($G199),$G199&gt;=0,$G199&lt;=1))),"Override not valid, ignored. ","")&amp;IF(AND($A199&lt;&gt;"",COUNTIF($A$5:$A$254,$A199)&gt;1),"Duplicate ID. ","")))</f>
        <v/>
      </c>
    </row>
    <row r="200" customFormat="false" ht="15" hidden="false" customHeight="false" outlineLevel="0" collapsed="false">
      <c r="A200" s="18"/>
      <c r="B200" s="38"/>
      <c r="C200" s="39"/>
      <c r="D200" s="38"/>
      <c r="E200" s="19"/>
      <c r="F200" s="38"/>
      <c r="G200" s="40"/>
      <c r="H200" s="18"/>
      <c r="I200" s="41" t="str">
        <f aca="false">IF(COUNTA($A200:$F200)=0,"",IF($B200="","",IFERROR(INDEX(Ranges!$B$5:$B$16,MATCH($B200,Ranges!$A$5:$A$16,0)),"")))</f>
        <v/>
      </c>
      <c r="J200" s="41" t="str">
        <f aca="false">IF(COUNTA($A200:$F200)=0,"",IF($B200="","",IFERROR(INDEX(Ranges!$C$5:$C$16,MATCH($B200,Ranges!$A$5:$A$16,0)),"")))</f>
        <v/>
      </c>
      <c r="K200" s="41" t="str">
        <f aca="false">IF(COUNTA($A200:$F200)=0,"",IF($B200="","",IFERROR(INDEX(Ranges!$D$5:$D$16,MATCH($B200,Ranges!$A$5:$A$16,0)),"")))</f>
        <v/>
      </c>
      <c r="L200" s="42" t="str">
        <f aca="false">IF(OR(NOT(ISNUMBER($E200)),NOT(ISNUMBER(J200))),"",IF(J200&gt;0,$E200/J200,""))</f>
        <v/>
      </c>
      <c r="M200" s="43" t="str">
        <f aca="false">IF(OR(NOT(ISNUMBER($E200)),NOT(ISNUMBER(I200)),NOT(ISNUMBER(K200))),"",IF(K200&gt;I200,($E200-I200)/(K200-I200),""))</f>
        <v/>
      </c>
      <c r="N200" s="42" t="str">
        <f aca="false">IF(Basis="Compa-ratio",L200,M200)</f>
        <v/>
      </c>
      <c r="O200" s="44" t="str">
        <f aca="false">IF(ISNUMBER(N200),IFERROR(MATCH(N200,Matrix!$C$9:$G$9,1),1),"")</f>
        <v/>
      </c>
      <c r="P200" s="45" t="str">
        <f aca="false">IF(COUNTA($A200:$F200)=0,"",IF(Q200="","Y","N"))</f>
        <v/>
      </c>
      <c r="Q200" s="46" t="str">
        <f aca="false">IF(COUNTA($A200:$F200)=0,"",IF($A200="","ID missing",IF(TRIM($F200)="Exclude","Excluded by plan status",IF(AND(TRIM($F200)&lt;&gt;"",TRIM($F200)&lt;&gt;"Include"),"Plan status not valid (use Include or Exclude)",IF(NOT(ISNUMBER($C200)),"Hire date missing or not a date",IF($C200&gt;Cutoff,"Hired after cutoff",IF(NOT(ISNUMBER($E200)),"Salary missing or not a number",IF($E200&lt;=0,"Salary missing or not a number",IF(OR(NOT(ISNUMBER(I200)),NOT(ISNUMBER(J200)),NOT(ISNUMBER(K200))),"Grade not found in Ranges",IF($D200="","Rating missing",IF($D200="NR","Not rated (NR)",IF(NOT(ISNUMBER(MATCH($D200,Matrix!$A$14:$A$18,0))),"Rating not valid (use 1 to 5 or NR)",IF(NOT(ISNUMBER(O200)),"Band not found (check range and limits)","")))))))))))))</f>
        <v/>
      </c>
      <c r="R200" s="47" t="str">
        <f aca="false">IF($P200="Y",INDEX(Matrix!$C$14:$G$18,MATCH($D200,Matrix!$A$14:$A$18,0),$O200),IF($P200="N",0,""))</f>
        <v/>
      </c>
      <c r="S200" s="47" t="str">
        <f aca="false">IF($P200="Y",IF(AND(ISNUMBER($G200),$G200&gt;=0,$G200&lt;=1),$G200,$R200),IF($P200="N",0,""))</f>
        <v/>
      </c>
      <c r="T200" s="48" t="str">
        <f aca="false">IF($P200&lt;&gt;"Y",IF($P200="N",0,""),IF(ProrateMethod="None",1,IF($C200&lt;=PeriodStart,1,IF(ProrateMethod="Daily",MAX(0,MIN(1,(PeriodEnd-$C200+1)/(PeriodEnd-PeriodStart+1))),MAX(0,MIN(1,((YEAR(PeriodEnd)-YEAR($C200))*12+MONTH(PeriodEnd)-MONTH($C200)+1-IF(DAY($C200)&gt;MonthCutDay,1,0))/PeriodMonths))))))</f>
        <v/>
      </c>
      <c r="U200" s="47" t="str">
        <f aca="false">IF($P200="","",$S200*$T200)</f>
        <v/>
      </c>
      <c r="V200" s="49" t="str">
        <f aca="false">IF($P200="","",IF(ISNUMBER($E200),$E200,0)*$R200)</f>
        <v/>
      </c>
      <c r="W200" s="49" t="str">
        <f aca="false">IF($P200="","",IF(ISNUMBER($E200),$E200,0)*$S200)</f>
        <v/>
      </c>
      <c r="X200" s="49" t="str">
        <f aca="false">IF($P200="","",IF(ISNUMBER($E200),$E200,0)*$U200)</f>
        <v/>
      </c>
      <c r="Y200" s="49" t="str">
        <f aca="false">IF($P200="","",IF(AND(CapAtMax="Yes",$P200="Y"),MAX(0,MIN($X200,$K200-$E200)),$X200))</f>
        <v/>
      </c>
      <c r="Z200" s="41" t="str">
        <f aca="false">IF(OR($P200="",NOT(ISNUMBER($E200))),"",$E200+$Y200)</f>
        <v/>
      </c>
      <c r="AA200" s="42" t="str">
        <f aca="false">IF(AND(ISNUMBER(Z200),ISNUMBER(J200)),IF(J200&gt;0,Z200/J200,""),"")</f>
        <v/>
      </c>
      <c r="AB200" s="46" t="str">
        <f aca="false">IF($P200="","",TRIM(IF(AND($P200="Y",ISNUMBER(K200),ISNUMBER(Z200)),IF(Z200&gt;K200,"Above range max. ",""),"")&amp;IF(AND($P200="Y",ISNUMBER($X200),ISNUMBER($Y200)),IF($X200-$Y200&gt;0.005,"Capped at range max. ",""),"")&amp;IF(AND(AND(ISNUMBER($G200),$G200&gt;=0,$G200&lt;=1),$H200=""),"Override needs a reason. ","")&amp;IF(AND(AND(ISNUMBER($G200),$G200&gt;=0,$G200&lt;=1),$P200&lt;&gt;"Y"),"Override ignored. ","")&amp;IF(AND($G200&lt;&gt;"",NOT(AND(ISNUMBER($G200),$G200&gt;=0,$G200&lt;=1))),"Override not valid, ignored. ","")&amp;IF(AND($A200&lt;&gt;"",COUNTIF($A$5:$A$254,$A200)&gt;1),"Duplicate ID. ","")))</f>
        <v/>
      </c>
    </row>
    <row r="201" customFormat="false" ht="15" hidden="false" customHeight="false" outlineLevel="0" collapsed="false">
      <c r="A201" s="18"/>
      <c r="B201" s="38"/>
      <c r="C201" s="39"/>
      <c r="D201" s="38"/>
      <c r="E201" s="19"/>
      <c r="F201" s="38"/>
      <c r="G201" s="40"/>
      <c r="H201" s="18"/>
      <c r="I201" s="41" t="str">
        <f aca="false">IF(COUNTA($A201:$F201)=0,"",IF($B201="","",IFERROR(INDEX(Ranges!$B$5:$B$16,MATCH($B201,Ranges!$A$5:$A$16,0)),"")))</f>
        <v/>
      </c>
      <c r="J201" s="41" t="str">
        <f aca="false">IF(COUNTA($A201:$F201)=0,"",IF($B201="","",IFERROR(INDEX(Ranges!$C$5:$C$16,MATCH($B201,Ranges!$A$5:$A$16,0)),"")))</f>
        <v/>
      </c>
      <c r="K201" s="41" t="str">
        <f aca="false">IF(COUNTA($A201:$F201)=0,"",IF($B201="","",IFERROR(INDEX(Ranges!$D$5:$D$16,MATCH($B201,Ranges!$A$5:$A$16,0)),"")))</f>
        <v/>
      </c>
      <c r="L201" s="42" t="str">
        <f aca="false">IF(OR(NOT(ISNUMBER($E201)),NOT(ISNUMBER(J201))),"",IF(J201&gt;0,$E201/J201,""))</f>
        <v/>
      </c>
      <c r="M201" s="43" t="str">
        <f aca="false">IF(OR(NOT(ISNUMBER($E201)),NOT(ISNUMBER(I201)),NOT(ISNUMBER(K201))),"",IF(K201&gt;I201,($E201-I201)/(K201-I201),""))</f>
        <v/>
      </c>
      <c r="N201" s="42" t="str">
        <f aca="false">IF(Basis="Compa-ratio",L201,M201)</f>
        <v/>
      </c>
      <c r="O201" s="44" t="str">
        <f aca="false">IF(ISNUMBER(N201),IFERROR(MATCH(N201,Matrix!$C$9:$G$9,1),1),"")</f>
        <v/>
      </c>
      <c r="P201" s="45" t="str">
        <f aca="false">IF(COUNTA($A201:$F201)=0,"",IF(Q201="","Y","N"))</f>
        <v/>
      </c>
      <c r="Q201" s="46" t="str">
        <f aca="false">IF(COUNTA($A201:$F201)=0,"",IF($A201="","ID missing",IF(TRIM($F201)="Exclude","Excluded by plan status",IF(AND(TRIM($F201)&lt;&gt;"",TRIM($F201)&lt;&gt;"Include"),"Plan status not valid (use Include or Exclude)",IF(NOT(ISNUMBER($C201)),"Hire date missing or not a date",IF($C201&gt;Cutoff,"Hired after cutoff",IF(NOT(ISNUMBER($E201)),"Salary missing or not a number",IF($E201&lt;=0,"Salary missing or not a number",IF(OR(NOT(ISNUMBER(I201)),NOT(ISNUMBER(J201)),NOT(ISNUMBER(K201))),"Grade not found in Ranges",IF($D201="","Rating missing",IF($D201="NR","Not rated (NR)",IF(NOT(ISNUMBER(MATCH($D201,Matrix!$A$14:$A$18,0))),"Rating not valid (use 1 to 5 or NR)",IF(NOT(ISNUMBER(O201)),"Band not found (check range and limits)","")))))))))))))</f>
        <v/>
      </c>
      <c r="R201" s="47" t="str">
        <f aca="false">IF($P201="Y",INDEX(Matrix!$C$14:$G$18,MATCH($D201,Matrix!$A$14:$A$18,0),$O201),IF($P201="N",0,""))</f>
        <v/>
      </c>
      <c r="S201" s="47" t="str">
        <f aca="false">IF($P201="Y",IF(AND(ISNUMBER($G201),$G201&gt;=0,$G201&lt;=1),$G201,$R201),IF($P201="N",0,""))</f>
        <v/>
      </c>
      <c r="T201" s="48" t="str">
        <f aca="false">IF($P201&lt;&gt;"Y",IF($P201="N",0,""),IF(ProrateMethod="None",1,IF($C201&lt;=PeriodStart,1,IF(ProrateMethod="Daily",MAX(0,MIN(1,(PeriodEnd-$C201+1)/(PeriodEnd-PeriodStart+1))),MAX(0,MIN(1,((YEAR(PeriodEnd)-YEAR($C201))*12+MONTH(PeriodEnd)-MONTH($C201)+1-IF(DAY($C201)&gt;MonthCutDay,1,0))/PeriodMonths))))))</f>
        <v/>
      </c>
      <c r="U201" s="47" t="str">
        <f aca="false">IF($P201="","",$S201*$T201)</f>
        <v/>
      </c>
      <c r="V201" s="49" t="str">
        <f aca="false">IF($P201="","",IF(ISNUMBER($E201),$E201,0)*$R201)</f>
        <v/>
      </c>
      <c r="W201" s="49" t="str">
        <f aca="false">IF($P201="","",IF(ISNUMBER($E201),$E201,0)*$S201)</f>
        <v/>
      </c>
      <c r="X201" s="49" t="str">
        <f aca="false">IF($P201="","",IF(ISNUMBER($E201),$E201,0)*$U201)</f>
        <v/>
      </c>
      <c r="Y201" s="49" t="str">
        <f aca="false">IF($P201="","",IF(AND(CapAtMax="Yes",$P201="Y"),MAX(0,MIN($X201,$K201-$E201)),$X201))</f>
        <v/>
      </c>
      <c r="Z201" s="41" t="str">
        <f aca="false">IF(OR($P201="",NOT(ISNUMBER($E201))),"",$E201+$Y201)</f>
        <v/>
      </c>
      <c r="AA201" s="42" t="str">
        <f aca="false">IF(AND(ISNUMBER(Z201),ISNUMBER(J201)),IF(J201&gt;0,Z201/J201,""),"")</f>
        <v/>
      </c>
      <c r="AB201" s="46" t="str">
        <f aca="false">IF($P201="","",TRIM(IF(AND($P201="Y",ISNUMBER(K201),ISNUMBER(Z201)),IF(Z201&gt;K201,"Above range max. ",""),"")&amp;IF(AND($P201="Y",ISNUMBER($X201),ISNUMBER($Y201)),IF($X201-$Y201&gt;0.005,"Capped at range max. ",""),"")&amp;IF(AND(AND(ISNUMBER($G201),$G201&gt;=0,$G201&lt;=1),$H201=""),"Override needs a reason. ","")&amp;IF(AND(AND(ISNUMBER($G201),$G201&gt;=0,$G201&lt;=1),$P201&lt;&gt;"Y"),"Override ignored. ","")&amp;IF(AND($G201&lt;&gt;"",NOT(AND(ISNUMBER($G201),$G201&gt;=0,$G201&lt;=1))),"Override not valid, ignored. ","")&amp;IF(AND($A201&lt;&gt;"",COUNTIF($A$5:$A$254,$A201)&gt;1),"Duplicate ID. ","")))</f>
        <v/>
      </c>
    </row>
    <row r="202" customFormat="false" ht="15" hidden="false" customHeight="false" outlineLevel="0" collapsed="false">
      <c r="A202" s="18"/>
      <c r="B202" s="38"/>
      <c r="C202" s="39"/>
      <c r="D202" s="38"/>
      <c r="E202" s="19"/>
      <c r="F202" s="38"/>
      <c r="G202" s="40"/>
      <c r="H202" s="18"/>
      <c r="I202" s="41" t="str">
        <f aca="false">IF(COUNTA($A202:$F202)=0,"",IF($B202="","",IFERROR(INDEX(Ranges!$B$5:$B$16,MATCH($B202,Ranges!$A$5:$A$16,0)),"")))</f>
        <v/>
      </c>
      <c r="J202" s="41" t="str">
        <f aca="false">IF(COUNTA($A202:$F202)=0,"",IF($B202="","",IFERROR(INDEX(Ranges!$C$5:$C$16,MATCH($B202,Ranges!$A$5:$A$16,0)),"")))</f>
        <v/>
      </c>
      <c r="K202" s="41" t="str">
        <f aca="false">IF(COUNTA($A202:$F202)=0,"",IF($B202="","",IFERROR(INDEX(Ranges!$D$5:$D$16,MATCH($B202,Ranges!$A$5:$A$16,0)),"")))</f>
        <v/>
      </c>
      <c r="L202" s="42" t="str">
        <f aca="false">IF(OR(NOT(ISNUMBER($E202)),NOT(ISNUMBER(J202))),"",IF(J202&gt;0,$E202/J202,""))</f>
        <v/>
      </c>
      <c r="M202" s="43" t="str">
        <f aca="false">IF(OR(NOT(ISNUMBER($E202)),NOT(ISNUMBER(I202)),NOT(ISNUMBER(K202))),"",IF(K202&gt;I202,($E202-I202)/(K202-I202),""))</f>
        <v/>
      </c>
      <c r="N202" s="42" t="str">
        <f aca="false">IF(Basis="Compa-ratio",L202,M202)</f>
        <v/>
      </c>
      <c r="O202" s="44" t="str">
        <f aca="false">IF(ISNUMBER(N202),IFERROR(MATCH(N202,Matrix!$C$9:$G$9,1),1),"")</f>
        <v/>
      </c>
      <c r="P202" s="45" t="str">
        <f aca="false">IF(COUNTA($A202:$F202)=0,"",IF(Q202="","Y","N"))</f>
        <v/>
      </c>
      <c r="Q202" s="46" t="str">
        <f aca="false">IF(COUNTA($A202:$F202)=0,"",IF($A202="","ID missing",IF(TRIM($F202)="Exclude","Excluded by plan status",IF(AND(TRIM($F202)&lt;&gt;"",TRIM($F202)&lt;&gt;"Include"),"Plan status not valid (use Include or Exclude)",IF(NOT(ISNUMBER($C202)),"Hire date missing or not a date",IF($C202&gt;Cutoff,"Hired after cutoff",IF(NOT(ISNUMBER($E202)),"Salary missing or not a number",IF($E202&lt;=0,"Salary missing or not a number",IF(OR(NOT(ISNUMBER(I202)),NOT(ISNUMBER(J202)),NOT(ISNUMBER(K202))),"Grade not found in Ranges",IF($D202="","Rating missing",IF($D202="NR","Not rated (NR)",IF(NOT(ISNUMBER(MATCH($D202,Matrix!$A$14:$A$18,0))),"Rating not valid (use 1 to 5 or NR)",IF(NOT(ISNUMBER(O202)),"Band not found (check range and limits)","")))))))))))))</f>
        <v/>
      </c>
      <c r="R202" s="47" t="str">
        <f aca="false">IF($P202="Y",INDEX(Matrix!$C$14:$G$18,MATCH($D202,Matrix!$A$14:$A$18,0),$O202),IF($P202="N",0,""))</f>
        <v/>
      </c>
      <c r="S202" s="47" t="str">
        <f aca="false">IF($P202="Y",IF(AND(ISNUMBER($G202),$G202&gt;=0,$G202&lt;=1),$G202,$R202),IF($P202="N",0,""))</f>
        <v/>
      </c>
      <c r="T202" s="48" t="str">
        <f aca="false">IF($P202&lt;&gt;"Y",IF($P202="N",0,""),IF(ProrateMethod="None",1,IF($C202&lt;=PeriodStart,1,IF(ProrateMethod="Daily",MAX(0,MIN(1,(PeriodEnd-$C202+1)/(PeriodEnd-PeriodStart+1))),MAX(0,MIN(1,((YEAR(PeriodEnd)-YEAR($C202))*12+MONTH(PeriodEnd)-MONTH($C202)+1-IF(DAY($C202)&gt;MonthCutDay,1,0))/PeriodMonths))))))</f>
        <v/>
      </c>
      <c r="U202" s="47" t="str">
        <f aca="false">IF($P202="","",$S202*$T202)</f>
        <v/>
      </c>
      <c r="V202" s="49" t="str">
        <f aca="false">IF($P202="","",IF(ISNUMBER($E202),$E202,0)*$R202)</f>
        <v/>
      </c>
      <c r="W202" s="49" t="str">
        <f aca="false">IF($P202="","",IF(ISNUMBER($E202),$E202,0)*$S202)</f>
        <v/>
      </c>
      <c r="X202" s="49" t="str">
        <f aca="false">IF($P202="","",IF(ISNUMBER($E202),$E202,0)*$U202)</f>
        <v/>
      </c>
      <c r="Y202" s="49" t="str">
        <f aca="false">IF($P202="","",IF(AND(CapAtMax="Yes",$P202="Y"),MAX(0,MIN($X202,$K202-$E202)),$X202))</f>
        <v/>
      </c>
      <c r="Z202" s="41" t="str">
        <f aca="false">IF(OR($P202="",NOT(ISNUMBER($E202))),"",$E202+$Y202)</f>
        <v/>
      </c>
      <c r="AA202" s="42" t="str">
        <f aca="false">IF(AND(ISNUMBER(Z202),ISNUMBER(J202)),IF(J202&gt;0,Z202/J202,""),"")</f>
        <v/>
      </c>
      <c r="AB202" s="46" t="str">
        <f aca="false">IF($P202="","",TRIM(IF(AND($P202="Y",ISNUMBER(K202),ISNUMBER(Z202)),IF(Z202&gt;K202,"Above range max. ",""),"")&amp;IF(AND($P202="Y",ISNUMBER($X202),ISNUMBER($Y202)),IF($X202-$Y202&gt;0.005,"Capped at range max. ",""),"")&amp;IF(AND(AND(ISNUMBER($G202),$G202&gt;=0,$G202&lt;=1),$H202=""),"Override needs a reason. ","")&amp;IF(AND(AND(ISNUMBER($G202),$G202&gt;=0,$G202&lt;=1),$P202&lt;&gt;"Y"),"Override ignored. ","")&amp;IF(AND($G202&lt;&gt;"",NOT(AND(ISNUMBER($G202),$G202&gt;=0,$G202&lt;=1))),"Override not valid, ignored. ","")&amp;IF(AND($A202&lt;&gt;"",COUNTIF($A$5:$A$254,$A202)&gt;1),"Duplicate ID. ","")))</f>
        <v/>
      </c>
    </row>
    <row r="203" customFormat="false" ht="15" hidden="false" customHeight="false" outlineLevel="0" collapsed="false">
      <c r="A203" s="18"/>
      <c r="B203" s="38"/>
      <c r="C203" s="39"/>
      <c r="D203" s="38"/>
      <c r="E203" s="19"/>
      <c r="F203" s="38"/>
      <c r="G203" s="40"/>
      <c r="H203" s="18"/>
      <c r="I203" s="41" t="str">
        <f aca="false">IF(COUNTA($A203:$F203)=0,"",IF($B203="","",IFERROR(INDEX(Ranges!$B$5:$B$16,MATCH($B203,Ranges!$A$5:$A$16,0)),"")))</f>
        <v/>
      </c>
      <c r="J203" s="41" t="str">
        <f aca="false">IF(COUNTA($A203:$F203)=0,"",IF($B203="","",IFERROR(INDEX(Ranges!$C$5:$C$16,MATCH($B203,Ranges!$A$5:$A$16,0)),"")))</f>
        <v/>
      </c>
      <c r="K203" s="41" t="str">
        <f aca="false">IF(COUNTA($A203:$F203)=0,"",IF($B203="","",IFERROR(INDEX(Ranges!$D$5:$D$16,MATCH($B203,Ranges!$A$5:$A$16,0)),"")))</f>
        <v/>
      </c>
      <c r="L203" s="42" t="str">
        <f aca="false">IF(OR(NOT(ISNUMBER($E203)),NOT(ISNUMBER(J203))),"",IF(J203&gt;0,$E203/J203,""))</f>
        <v/>
      </c>
      <c r="M203" s="43" t="str">
        <f aca="false">IF(OR(NOT(ISNUMBER($E203)),NOT(ISNUMBER(I203)),NOT(ISNUMBER(K203))),"",IF(K203&gt;I203,($E203-I203)/(K203-I203),""))</f>
        <v/>
      </c>
      <c r="N203" s="42" t="str">
        <f aca="false">IF(Basis="Compa-ratio",L203,M203)</f>
        <v/>
      </c>
      <c r="O203" s="44" t="str">
        <f aca="false">IF(ISNUMBER(N203),IFERROR(MATCH(N203,Matrix!$C$9:$G$9,1),1),"")</f>
        <v/>
      </c>
      <c r="P203" s="45" t="str">
        <f aca="false">IF(COUNTA($A203:$F203)=0,"",IF(Q203="","Y","N"))</f>
        <v/>
      </c>
      <c r="Q203" s="46" t="str">
        <f aca="false">IF(COUNTA($A203:$F203)=0,"",IF($A203="","ID missing",IF(TRIM($F203)="Exclude","Excluded by plan status",IF(AND(TRIM($F203)&lt;&gt;"",TRIM($F203)&lt;&gt;"Include"),"Plan status not valid (use Include or Exclude)",IF(NOT(ISNUMBER($C203)),"Hire date missing or not a date",IF($C203&gt;Cutoff,"Hired after cutoff",IF(NOT(ISNUMBER($E203)),"Salary missing or not a number",IF($E203&lt;=0,"Salary missing or not a number",IF(OR(NOT(ISNUMBER(I203)),NOT(ISNUMBER(J203)),NOT(ISNUMBER(K203))),"Grade not found in Ranges",IF($D203="","Rating missing",IF($D203="NR","Not rated (NR)",IF(NOT(ISNUMBER(MATCH($D203,Matrix!$A$14:$A$18,0))),"Rating not valid (use 1 to 5 or NR)",IF(NOT(ISNUMBER(O203)),"Band not found (check range and limits)","")))))))))))))</f>
        <v/>
      </c>
      <c r="R203" s="47" t="str">
        <f aca="false">IF($P203="Y",INDEX(Matrix!$C$14:$G$18,MATCH($D203,Matrix!$A$14:$A$18,0),$O203),IF($P203="N",0,""))</f>
        <v/>
      </c>
      <c r="S203" s="47" t="str">
        <f aca="false">IF($P203="Y",IF(AND(ISNUMBER($G203),$G203&gt;=0,$G203&lt;=1),$G203,$R203),IF($P203="N",0,""))</f>
        <v/>
      </c>
      <c r="T203" s="48" t="str">
        <f aca="false">IF($P203&lt;&gt;"Y",IF($P203="N",0,""),IF(ProrateMethod="None",1,IF($C203&lt;=PeriodStart,1,IF(ProrateMethod="Daily",MAX(0,MIN(1,(PeriodEnd-$C203+1)/(PeriodEnd-PeriodStart+1))),MAX(0,MIN(1,((YEAR(PeriodEnd)-YEAR($C203))*12+MONTH(PeriodEnd)-MONTH($C203)+1-IF(DAY($C203)&gt;MonthCutDay,1,0))/PeriodMonths))))))</f>
        <v/>
      </c>
      <c r="U203" s="47" t="str">
        <f aca="false">IF($P203="","",$S203*$T203)</f>
        <v/>
      </c>
      <c r="V203" s="49" t="str">
        <f aca="false">IF($P203="","",IF(ISNUMBER($E203),$E203,0)*$R203)</f>
        <v/>
      </c>
      <c r="W203" s="49" t="str">
        <f aca="false">IF($P203="","",IF(ISNUMBER($E203),$E203,0)*$S203)</f>
        <v/>
      </c>
      <c r="X203" s="49" t="str">
        <f aca="false">IF($P203="","",IF(ISNUMBER($E203),$E203,0)*$U203)</f>
        <v/>
      </c>
      <c r="Y203" s="49" t="str">
        <f aca="false">IF($P203="","",IF(AND(CapAtMax="Yes",$P203="Y"),MAX(0,MIN($X203,$K203-$E203)),$X203))</f>
        <v/>
      </c>
      <c r="Z203" s="41" t="str">
        <f aca="false">IF(OR($P203="",NOT(ISNUMBER($E203))),"",$E203+$Y203)</f>
        <v/>
      </c>
      <c r="AA203" s="42" t="str">
        <f aca="false">IF(AND(ISNUMBER(Z203),ISNUMBER(J203)),IF(J203&gt;0,Z203/J203,""),"")</f>
        <v/>
      </c>
      <c r="AB203" s="46" t="str">
        <f aca="false">IF($P203="","",TRIM(IF(AND($P203="Y",ISNUMBER(K203),ISNUMBER(Z203)),IF(Z203&gt;K203,"Above range max. ",""),"")&amp;IF(AND($P203="Y",ISNUMBER($X203),ISNUMBER($Y203)),IF($X203-$Y203&gt;0.005,"Capped at range max. ",""),"")&amp;IF(AND(AND(ISNUMBER($G203),$G203&gt;=0,$G203&lt;=1),$H203=""),"Override needs a reason. ","")&amp;IF(AND(AND(ISNUMBER($G203),$G203&gt;=0,$G203&lt;=1),$P203&lt;&gt;"Y"),"Override ignored. ","")&amp;IF(AND($G203&lt;&gt;"",NOT(AND(ISNUMBER($G203),$G203&gt;=0,$G203&lt;=1))),"Override not valid, ignored. ","")&amp;IF(AND($A203&lt;&gt;"",COUNTIF($A$5:$A$254,$A203)&gt;1),"Duplicate ID. ","")))</f>
        <v/>
      </c>
    </row>
    <row r="204" customFormat="false" ht="15" hidden="false" customHeight="false" outlineLevel="0" collapsed="false">
      <c r="A204" s="18"/>
      <c r="B204" s="38"/>
      <c r="C204" s="39"/>
      <c r="D204" s="38"/>
      <c r="E204" s="19"/>
      <c r="F204" s="38"/>
      <c r="G204" s="40"/>
      <c r="H204" s="18"/>
      <c r="I204" s="41" t="str">
        <f aca="false">IF(COUNTA($A204:$F204)=0,"",IF($B204="","",IFERROR(INDEX(Ranges!$B$5:$B$16,MATCH($B204,Ranges!$A$5:$A$16,0)),"")))</f>
        <v/>
      </c>
      <c r="J204" s="41" t="str">
        <f aca="false">IF(COUNTA($A204:$F204)=0,"",IF($B204="","",IFERROR(INDEX(Ranges!$C$5:$C$16,MATCH($B204,Ranges!$A$5:$A$16,0)),"")))</f>
        <v/>
      </c>
      <c r="K204" s="41" t="str">
        <f aca="false">IF(COUNTA($A204:$F204)=0,"",IF($B204="","",IFERROR(INDEX(Ranges!$D$5:$D$16,MATCH($B204,Ranges!$A$5:$A$16,0)),"")))</f>
        <v/>
      </c>
      <c r="L204" s="42" t="str">
        <f aca="false">IF(OR(NOT(ISNUMBER($E204)),NOT(ISNUMBER(J204))),"",IF(J204&gt;0,$E204/J204,""))</f>
        <v/>
      </c>
      <c r="M204" s="43" t="str">
        <f aca="false">IF(OR(NOT(ISNUMBER($E204)),NOT(ISNUMBER(I204)),NOT(ISNUMBER(K204))),"",IF(K204&gt;I204,($E204-I204)/(K204-I204),""))</f>
        <v/>
      </c>
      <c r="N204" s="42" t="str">
        <f aca="false">IF(Basis="Compa-ratio",L204,M204)</f>
        <v/>
      </c>
      <c r="O204" s="44" t="str">
        <f aca="false">IF(ISNUMBER(N204),IFERROR(MATCH(N204,Matrix!$C$9:$G$9,1),1),"")</f>
        <v/>
      </c>
      <c r="P204" s="45" t="str">
        <f aca="false">IF(COUNTA($A204:$F204)=0,"",IF(Q204="","Y","N"))</f>
        <v/>
      </c>
      <c r="Q204" s="46" t="str">
        <f aca="false">IF(COUNTA($A204:$F204)=0,"",IF($A204="","ID missing",IF(TRIM($F204)="Exclude","Excluded by plan status",IF(AND(TRIM($F204)&lt;&gt;"",TRIM($F204)&lt;&gt;"Include"),"Plan status not valid (use Include or Exclude)",IF(NOT(ISNUMBER($C204)),"Hire date missing or not a date",IF($C204&gt;Cutoff,"Hired after cutoff",IF(NOT(ISNUMBER($E204)),"Salary missing or not a number",IF($E204&lt;=0,"Salary missing or not a number",IF(OR(NOT(ISNUMBER(I204)),NOT(ISNUMBER(J204)),NOT(ISNUMBER(K204))),"Grade not found in Ranges",IF($D204="","Rating missing",IF($D204="NR","Not rated (NR)",IF(NOT(ISNUMBER(MATCH($D204,Matrix!$A$14:$A$18,0))),"Rating not valid (use 1 to 5 or NR)",IF(NOT(ISNUMBER(O204)),"Band not found (check range and limits)","")))))))))))))</f>
        <v/>
      </c>
      <c r="R204" s="47" t="str">
        <f aca="false">IF($P204="Y",INDEX(Matrix!$C$14:$G$18,MATCH($D204,Matrix!$A$14:$A$18,0),$O204),IF($P204="N",0,""))</f>
        <v/>
      </c>
      <c r="S204" s="47" t="str">
        <f aca="false">IF($P204="Y",IF(AND(ISNUMBER($G204),$G204&gt;=0,$G204&lt;=1),$G204,$R204),IF($P204="N",0,""))</f>
        <v/>
      </c>
      <c r="T204" s="48" t="str">
        <f aca="false">IF($P204&lt;&gt;"Y",IF($P204="N",0,""),IF(ProrateMethod="None",1,IF($C204&lt;=PeriodStart,1,IF(ProrateMethod="Daily",MAX(0,MIN(1,(PeriodEnd-$C204+1)/(PeriodEnd-PeriodStart+1))),MAX(0,MIN(1,((YEAR(PeriodEnd)-YEAR($C204))*12+MONTH(PeriodEnd)-MONTH($C204)+1-IF(DAY($C204)&gt;MonthCutDay,1,0))/PeriodMonths))))))</f>
        <v/>
      </c>
      <c r="U204" s="47" t="str">
        <f aca="false">IF($P204="","",$S204*$T204)</f>
        <v/>
      </c>
      <c r="V204" s="49" t="str">
        <f aca="false">IF($P204="","",IF(ISNUMBER($E204),$E204,0)*$R204)</f>
        <v/>
      </c>
      <c r="W204" s="49" t="str">
        <f aca="false">IF($P204="","",IF(ISNUMBER($E204),$E204,0)*$S204)</f>
        <v/>
      </c>
      <c r="X204" s="49" t="str">
        <f aca="false">IF($P204="","",IF(ISNUMBER($E204),$E204,0)*$U204)</f>
        <v/>
      </c>
      <c r="Y204" s="49" t="str">
        <f aca="false">IF($P204="","",IF(AND(CapAtMax="Yes",$P204="Y"),MAX(0,MIN($X204,$K204-$E204)),$X204))</f>
        <v/>
      </c>
      <c r="Z204" s="41" t="str">
        <f aca="false">IF(OR($P204="",NOT(ISNUMBER($E204))),"",$E204+$Y204)</f>
        <v/>
      </c>
      <c r="AA204" s="42" t="str">
        <f aca="false">IF(AND(ISNUMBER(Z204),ISNUMBER(J204)),IF(J204&gt;0,Z204/J204,""),"")</f>
        <v/>
      </c>
      <c r="AB204" s="46" t="str">
        <f aca="false">IF($P204="","",TRIM(IF(AND($P204="Y",ISNUMBER(K204),ISNUMBER(Z204)),IF(Z204&gt;K204,"Above range max. ",""),"")&amp;IF(AND($P204="Y",ISNUMBER($X204),ISNUMBER($Y204)),IF($X204-$Y204&gt;0.005,"Capped at range max. ",""),"")&amp;IF(AND(AND(ISNUMBER($G204),$G204&gt;=0,$G204&lt;=1),$H204=""),"Override needs a reason. ","")&amp;IF(AND(AND(ISNUMBER($G204),$G204&gt;=0,$G204&lt;=1),$P204&lt;&gt;"Y"),"Override ignored. ","")&amp;IF(AND($G204&lt;&gt;"",NOT(AND(ISNUMBER($G204),$G204&gt;=0,$G204&lt;=1))),"Override not valid, ignored. ","")&amp;IF(AND($A204&lt;&gt;"",COUNTIF($A$5:$A$254,$A204)&gt;1),"Duplicate ID. ","")))</f>
        <v/>
      </c>
    </row>
    <row r="205" customFormat="false" ht="15" hidden="false" customHeight="false" outlineLevel="0" collapsed="false">
      <c r="A205" s="18"/>
      <c r="B205" s="38"/>
      <c r="C205" s="39"/>
      <c r="D205" s="38"/>
      <c r="E205" s="19"/>
      <c r="F205" s="38"/>
      <c r="G205" s="40"/>
      <c r="H205" s="18"/>
      <c r="I205" s="41" t="str">
        <f aca="false">IF(COUNTA($A205:$F205)=0,"",IF($B205="","",IFERROR(INDEX(Ranges!$B$5:$B$16,MATCH($B205,Ranges!$A$5:$A$16,0)),"")))</f>
        <v/>
      </c>
      <c r="J205" s="41" t="str">
        <f aca="false">IF(COUNTA($A205:$F205)=0,"",IF($B205="","",IFERROR(INDEX(Ranges!$C$5:$C$16,MATCH($B205,Ranges!$A$5:$A$16,0)),"")))</f>
        <v/>
      </c>
      <c r="K205" s="41" t="str">
        <f aca="false">IF(COUNTA($A205:$F205)=0,"",IF($B205="","",IFERROR(INDEX(Ranges!$D$5:$D$16,MATCH($B205,Ranges!$A$5:$A$16,0)),"")))</f>
        <v/>
      </c>
      <c r="L205" s="42" t="str">
        <f aca="false">IF(OR(NOT(ISNUMBER($E205)),NOT(ISNUMBER(J205))),"",IF(J205&gt;0,$E205/J205,""))</f>
        <v/>
      </c>
      <c r="M205" s="43" t="str">
        <f aca="false">IF(OR(NOT(ISNUMBER($E205)),NOT(ISNUMBER(I205)),NOT(ISNUMBER(K205))),"",IF(K205&gt;I205,($E205-I205)/(K205-I205),""))</f>
        <v/>
      </c>
      <c r="N205" s="42" t="str">
        <f aca="false">IF(Basis="Compa-ratio",L205,M205)</f>
        <v/>
      </c>
      <c r="O205" s="44" t="str">
        <f aca="false">IF(ISNUMBER(N205),IFERROR(MATCH(N205,Matrix!$C$9:$G$9,1),1),"")</f>
        <v/>
      </c>
      <c r="P205" s="45" t="str">
        <f aca="false">IF(COUNTA($A205:$F205)=0,"",IF(Q205="","Y","N"))</f>
        <v/>
      </c>
      <c r="Q205" s="46" t="str">
        <f aca="false">IF(COUNTA($A205:$F205)=0,"",IF($A205="","ID missing",IF(TRIM($F205)="Exclude","Excluded by plan status",IF(AND(TRIM($F205)&lt;&gt;"",TRIM($F205)&lt;&gt;"Include"),"Plan status not valid (use Include or Exclude)",IF(NOT(ISNUMBER($C205)),"Hire date missing or not a date",IF($C205&gt;Cutoff,"Hired after cutoff",IF(NOT(ISNUMBER($E205)),"Salary missing or not a number",IF($E205&lt;=0,"Salary missing or not a number",IF(OR(NOT(ISNUMBER(I205)),NOT(ISNUMBER(J205)),NOT(ISNUMBER(K205))),"Grade not found in Ranges",IF($D205="","Rating missing",IF($D205="NR","Not rated (NR)",IF(NOT(ISNUMBER(MATCH($D205,Matrix!$A$14:$A$18,0))),"Rating not valid (use 1 to 5 or NR)",IF(NOT(ISNUMBER(O205)),"Band not found (check range and limits)","")))))))))))))</f>
        <v/>
      </c>
      <c r="R205" s="47" t="str">
        <f aca="false">IF($P205="Y",INDEX(Matrix!$C$14:$G$18,MATCH($D205,Matrix!$A$14:$A$18,0),$O205),IF($P205="N",0,""))</f>
        <v/>
      </c>
      <c r="S205" s="47" t="str">
        <f aca="false">IF($P205="Y",IF(AND(ISNUMBER($G205),$G205&gt;=0,$G205&lt;=1),$G205,$R205),IF($P205="N",0,""))</f>
        <v/>
      </c>
      <c r="T205" s="48" t="str">
        <f aca="false">IF($P205&lt;&gt;"Y",IF($P205="N",0,""),IF(ProrateMethod="None",1,IF($C205&lt;=PeriodStart,1,IF(ProrateMethod="Daily",MAX(0,MIN(1,(PeriodEnd-$C205+1)/(PeriodEnd-PeriodStart+1))),MAX(0,MIN(1,((YEAR(PeriodEnd)-YEAR($C205))*12+MONTH(PeriodEnd)-MONTH($C205)+1-IF(DAY($C205)&gt;MonthCutDay,1,0))/PeriodMonths))))))</f>
        <v/>
      </c>
      <c r="U205" s="47" t="str">
        <f aca="false">IF($P205="","",$S205*$T205)</f>
        <v/>
      </c>
      <c r="V205" s="49" t="str">
        <f aca="false">IF($P205="","",IF(ISNUMBER($E205),$E205,0)*$R205)</f>
        <v/>
      </c>
      <c r="W205" s="49" t="str">
        <f aca="false">IF($P205="","",IF(ISNUMBER($E205),$E205,0)*$S205)</f>
        <v/>
      </c>
      <c r="X205" s="49" t="str">
        <f aca="false">IF($P205="","",IF(ISNUMBER($E205),$E205,0)*$U205)</f>
        <v/>
      </c>
      <c r="Y205" s="49" t="str">
        <f aca="false">IF($P205="","",IF(AND(CapAtMax="Yes",$P205="Y"),MAX(0,MIN($X205,$K205-$E205)),$X205))</f>
        <v/>
      </c>
      <c r="Z205" s="41" t="str">
        <f aca="false">IF(OR($P205="",NOT(ISNUMBER($E205))),"",$E205+$Y205)</f>
        <v/>
      </c>
      <c r="AA205" s="42" t="str">
        <f aca="false">IF(AND(ISNUMBER(Z205),ISNUMBER(J205)),IF(J205&gt;0,Z205/J205,""),"")</f>
        <v/>
      </c>
      <c r="AB205" s="46" t="str">
        <f aca="false">IF($P205="","",TRIM(IF(AND($P205="Y",ISNUMBER(K205),ISNUMBER(Z205)),IF(Z205&gt;K205,"Above range max. ",""),"")&amp;IF(AND($P205="Y",ISNUMBER($X205),ISNUMBER($Y205)),IF($X205-$Y205&gt;0.005,"Capped at range max. ",""),"")&amp;IF(AND(AND(ISNUMBER($G205),$G205&gt;=0,$G205&lt;=1),$H205=""),"Override needs a reason. ","")&amp;IF(AND(AND(ISNUMBER($G205),$G205&gt;=0,$G205&lt;=1),$P205&lt;&gt;"Y"),"Override ignored. ","")&amp;IF(AND($G205&lt;&gt;"",NOT(AND(ISNUMBER($G205),$G205&gt;=0,$G205&lt;=1))),"Override not valid, ignored. ","")&amp;IF(AND($A205&lt;&gt;"",COUNTIF($A$5:$A$254,$A205)&gt;1),"Duplicate ID. ","")))</f>
        <v/>
      </c>
    </row>
    <row r="206" customFormat="false" ht="15" hidden="false" customHeight="false" outlineLevel="0" collapsed="false">
      <c r="A206" s="18"/>
      <c r="B206" s="38"/>
      <c r="C206" s="39"/>
      <c r="D206" s="38"/>
      <c r="E206" s="19"/>
      <c r="F206" s="38"/>
      <c r="G206" s="40"/>
      <c r="H206" s="18"/>
      <c r="I206" s="41" t="str">
        <f aca="false">IF(COUNTA($A206:$F206)=0,"",IF($B206="","",IFERROR(INDEX(Ranges!$B$5:$B$16,MATCH($B206,Ranges!$A$5:$A$16,0)),"")))</f>
        <v/>
      </c>
      <c r="J206" s="41" t="str">
        <f aca="false">IF(COUNTA($A206:$F206)=0,"",IF($B206="","",IFERROR(INDEX(Ranges!$C$5:$C$16,MATCH($B206,Ranges!$A$5:$A$16,0)),"")))</f>
        <v/>
      </c>
      <c r="K206" s="41" t="str">
        <f aca="false">IF(COUNTA($A206:$F206)=0,"",IF($B206="","",IFERROR(INDEX(Ranges!$D$5:$D$16,MATCH($B206,Ranges!$A$5:$A$16,0)),"")))</f>
        <v/>
      </c>
      <c r="L206" s="42" t="str">
        <f aca="false">IF(OR(NOT(ISNUMBER($E206)),NOT(ISNUMBER(J206))),"",IF(J206&gt;0,$E206/J206,""))</f>
        <v/>
      </c>
      <c r="M206" s="43" t="str">
        <f aca="false">IF(OR(NOT(ISNUMBER($E206)),NOT(ISNUMBER(I206)),NOT(ISNUMBER(K206))),"",IF(K206&gt;I206,($E206-I206)/(K206-I206),""))</f>
        <v/>
      </c>
      <c r="N206" s="42" t="str">
        <f aca="false">IF(Basis="Compa-ratio",L206,M206)</f>
        <v/>
      </c>
      <c r="O206" s="44" t="str">
        <f aca="false">IF(ISNUMBER(N206),IFERROR(MATCH(N206,Matrix!$C$9:$G$9,1),1),"")</f>
        <v/>
      </c>
      <c r="P206" s="45" t="str">
        <f aca="false">IF(COUNTA($A206:$F206)=0,"",IF(Q206="","Y","N"))</f>
        <v/>
      </c>
      <c r="Q206" s="46" t="str">
        <f aca="false">IF(COUNTA($A206:$F206)=0,"",IF($A206="","ID missing",IF(TRIM($F206)="Exclude","Excluded by plan status",IF(AND(TRIM($F206)&lt;&gt;"",TRIM($F206)&lt;&gt;"Include"),"Plan status not valid (use Include or Exclude)",IF(NOT(ISNUMBER($C206)),"Hire date missing or not a date",IF($C206&gt;Cutoff,"Hired after cutoff",IF(NOT(ISNUMBER($E206)),"Salary missing or not a number",IF($E206&lt;=0,"Salary missing or not a number",IF(OR(NOT(ISNUMBER(I206)),NOT(ISNUMBER(J206)),NOT(ISNUMBER(K206))),"Grade not found in Ranges",IF($D206="","Rating missing",IF($D206="NR","Not rated (NR)",IF(NOT(ISNUMBER(MATCH($D206,Matrix!$A$14:$A$18,0))),"Rating not valid (use 1 to 5 or NR)",IF(NOT(ISNUMBER(O206)),"Band not found (check range and limits)","")))))))))))))</f>
        <v/>
      </c>
      <c r="R206" s="47" t="str">
        <f aca="false">IF($P206="Y",INDEX(Matrix!$C$14:$G$18,MATCH($D206,Matrix!$A$14:$A$18,0),$O206),IF($P206="N",0,""))</f>
        <v/>
      </c>
      <c r="S206" s="47" t="str">
        <f aca="false">IF($P206="Y",IF(AND(ISNUMBER($G206),$G206&gt;=0,$G206&lt;=1),$G206,$R206),IF($P206="N",0,""))</f>
        <v/>
      </c>
      <c r="T206" s="48" t="str">
        <f aca="false">IF($P206&lt;&gt;"Y",IF($P206="N",0,""),IF(ProrateMethod="None",1,IF($C206&lt;=PeriodStart,1,IF(ProrateMethod="Daily",MAX(0,MIN(1,(PeriodEnd-$C206+1)/(PeriodEnd-PeriodStart+1))),MAX(0,MIN(1,((YEAR(PeriodEnd)-YEAR($C206))*12+MONTH(PeriodEnd)-MONTH($C206)+1-IF(DAY($C206)&gt;MonthCutDay,1,0))/PeriodMonths))))))</f>
        <v/>
      </c>
      <c r="U206" s="47" t="str">
        <f aca="false">IF($P206="","",$S206*$T206)</f>
        <v/>
      </c>
      <c r="V206" s="49" t="str">
        <f aca="false">IF($P206="","",IF(ISNUMBER($E206),$E206,0)*$R206)</f>
        <v/>
      </c>
      <c r="W206" s="49" t="str">
        <f aca="false">IF($P206="","",IF(ISNUMBER($E206),$E206,0)*$S206)</f>
        <v/>
      </c>
      <c r="X206" s="49" t="str">
        <f aca="false">IF($P206="","",IF(ISNUMBER($E206),$E206,0)*$U206)</f>
        <v/>
      </c>
      <c r="Y206" s="49" t="str">
        <f aca="false">IF($P206="","",IF(AND(CapAtMax="Yes",$P206="Y"),MAX(0,MIN($X206,$K206-$E206)),$X206))</f>
        <v/>
      </c>
      <c r="Z206" s="41" t="str">
        <f aca="false">IF(OR($P206="",NOT(ISNUMBER($E206))),"",$E206+$Y206)</f>
        <v/>
      </c>
      <c r="AA206" s="42" t="str">
        <f aca="false">IF(AND(ISNUMBER(Z206),ISNUMBER(J206)),IF(J206&gt;0,Z206/J206,""),"")</f>
        <v/>
      </c>
      <c r="AB206" s="46" t="str">
        <f aca="false">IF($P206="","",TRIM(IF(AND($P206="Y",ISNUMBER(K206),ISNUMBER(Z206)),IF(Z206&gt;K206,"Above range max. ",""),"")&amp;IF(AND($P206="Y",ISNUMBER($X206),ISNUMBER($Y206)),IF($X206-$Y206&gt;0.005,"Capped at range max. ",""),"")&amp;IF(AND(AND(ISNUMBER($G206),$G206&gt;=0,$G206&lt;=1),$H206=""),"Override needs a reason. ","")&amp;IF(AND(AND(ISNUMBER($G206),$G206&gt;=0,$G206&lt;=1),$P206&lt;&gt;"Y"),"Override ignored. ","")&amp;IF(AND($G206&lt;&gt;"",NOT(AND(ISNUMBER($G206),$G206&gt;=0,$G206&lt;=1))),"Override not valid, ignored. ","")&amp;IF(AND($A206&lt;&gt;"",COUNTIF($A$5:$A$254,$A206)&gt;1),"Duplicate ID. ","")))</f>
        <v/>
      </c>
    </row>
    <row r="207" customFormat="false" ht="15" hidden="false" customHeight="false" outlineLevel="0" collapsed="false">
      <c r="A207" s="18"/>
      <c r="B207" s="38"/>
      <c r="C207" s="39"/>
      <c r="D207" s="38"/>
      <c r="E207" s="19"/>
      <c r="F207" s="38"/>
      <c r="G207" s="40"/>
      <c r="H207" s="18"/>
      <c r="I207" s="41" t="str">
        <f aca="false">IF(COUNTA($A207:$F207)=0,"",IF($B207="","",IFERROR(INDEX(Ranges!$B$5:$B$16,MATCH($B207,Ranges!$A$5:$A$16,0)),"")))</f>
        <v/>
      </c>
      <c r="J207" s="41" t="str">
        <f aca="false">IF(COUNTA($A207:$F207)=0,"",IF($B207="","",IFERROR(INDEX(Ranges!$C$5:$C$16,MATCH($B207,Ranges!$A$5:$A$16,0)),"")))</f>
        <v/>
      </c>
      <c r="K207" s="41" t="str">
        <f aca="false">IF(COUNTA($A207:$F207)=0,"",IF($B207="","",IFERROR(INDEX(Ranges!$D$5:$D$16,MATCH($B207,Ranges!$A$5:$A$16,0)),"")))</f>
        <v/>
      </c>
      <c r="L207" s="42" t="str">
        <f aca="false">IF(OR(NOT(ISNUMBER($E207)),NOT(ISNUMBER(J207))),"",IF(J207&gt;0,$E207/J207,""))</f>
        <v/>
      </c>
      <c r="M207" s="43" t="str">
        <f aca="false">IF(OR(NOT(ISNUMBER($E207)),NOT(ISNUMBER(I207)),NOT(ISNUMBER(K207))),"",IF(K207&gt;I207,($E207-I207)/(K207-I207),""))</f>
        <v/>
      </c>
      <c r="N207" s="42" t="str">
        <f aca="false">IF(Basis="Compa-ratio",L207,M207)</f>
        <v/>
      </c>
      <c r="O207" s="44" t="str">
        <f aca="false">IF(ISNUMBER(N207),IFERROR(MATCH(N207,Matrix!$C$9:$G$9,1),1),"")</f>
        <v/>
      </c>
      <c r="P207" s="45" t="str">
        <f aca="false">IF(COUNTA($A207:$F207)=0,"",IF(Q207="","Y","N"))</f>
        <v/>
      </c>
      <c r="Q207" s="46" t="str">
        <f aca="false">IF(COUNTA($A207:$F207)=0,"",IF($A207="","ID missing",IF(TRIM($F207)="Exclude","Excluded by plan status",IF(AND(TRIM($F207)&lt;&gt;"",TRIM($F207)&lt;&gt;"Include"),"Plan status not valid (use Include or Exclude)",IF(NOT(ISNUMBER($C207)),"Hire date missing or not a date",IF($C207&gt;Cutoff,"Hired after cutoff",IF(NOT(ISNUMBER($E207)),"Salary missing or not a number",IF($E207&lt;=0,"Salary missing or not a number",IF(OR(NOT(ISNUMBER(I207)),NOT(ISNUMBER(J207)),NOT(ISNUMBER(K207))),"Grade not found in Ranges",IF($D207="","Rating missing",IF($D207="NR","Not rated (NR)",IF(NOT(ISNUMBER(MATCH($D207,Matrix!$A$14:$A$18,0))),"Rating not valid (use 1 to 5 or NR)",IF(NOT(ISNUMBER(O207)),"Band not found (check range and limits)","")))))))))))))</f>
        <v/>
      </c>
      <c r="R207" s="47" t="str">
        <f aca="false">IF($P207="Y",INDEX(Matrix!$C$14:$G$18,MATCH($D207,Matrix!$A$14:$A$18,0),$O207),IF($P207="N",0,""))</f>
        <v/>
      </c>
      <c r="S207" s="47" t="str">
        <f aca="false">IF($P207="Y",IF(AND(ISNUMBER($G207),$G207&gt;=0,$G207&lt;=1),$G207,$R207),IF($P207="N",0,""))</f>
        <v/>
      </c>
      <c r="T207" s="48" t="str">
        <f aca="false">IF($P207&lt;&gt;"Y",IF($P207="N",0,""),IF(ProrateMethod="None",1,IF($C207&lt;=PeriodStart,1,IF(ProrateMethod="Daily",MAX(0,MIN(1,(PeriodEnd-$C207+1)/(PeriodEnd-PeriodStart+1))),MAX(0,MIN(1,((YEAR(PeriodEnd)-YEAR($C207))*12+MONTH(PeriodEnd)-MONTH($C207)+1-IF(DAY($C207)&gt;MonthCutDay,1,0))/PeriodMonths))))))</f>
        <v/>
      </c>
      <c r="U207" s="47" t="str">
        <f aca="false">IF($P207="","",$S207*$T207)</f>
        <v/>
      </c>
      <c r="V207" s="49" t="str">
        <f aca="false">IF($P207="","",IF(ISNUMBER($E207),$E207,0)*$R207)</f>
        <v/>
      </c>
      <c r="W207" s="49" t="str">
        <f aca="false">IF($P207="","",IF(ISNUMBER($E207),$E207,0)*$S207)</f>
        <v/>
      </c>
      <c r="X207" s="49" t="str">
        <f aca="false">IF($P207="","",IF(ISNUMBER($E207),$E207,0)*$U207)</f>
        <v/>
      </c>
      <c r="Y207" s="49" t="str">
        <f aca="false">IF($P207="","",IF(AND(CapAtMax="Yes",$P207="Y"),MAX(0,MIN($X207,$K207-$E207)),$X207))</f>
        <v/>
      </c>
      <c r="Z207" s="41" t="str">
        <f aca="false">IF(OR($P207="",NOT(ISNUMBER($E207))),"",$E207+$Y207)</f>
        <v/>
      </c>
      <c r="AA207" s="42" t="str">
        <f aca="false">IF(AND(ISNUMBER(Z207),ISNUMBER(J207)),IF(J207&gt;0,Z207/J207,""),"")</f>
        <v/>
      </c>
      <c r="AB207" s="46" t="str">
        <f aca="false">IF($P207="","",TRIM(IF(AND($P207="Y",ISNUMBER(K207),ISNUMBER(Z207)),IF(Z207&gt;K207,"Above range max. ",""),"")&amp;IF(AND($P207="Y",ISNUMBER($X207),ISNUMBER($Y207)),IF($X207-$Y207&gt;0.005,"Capped at range max. ",""),"")&amp;IF(AND(AND(ISNUMBER($G207),$G207&gt;=0,$G207&lt;=1),$H207=""),"Override needs a reason. ","")&amp;IF(AND(AND(ISNUMBER($G207),$G207&gt;=0,$G207&lt;=1),$P207&lt;&gt;"Y"),"Override ignored. ","")&amp;IF(AND($G207&lt;&gt;"",NOT(AND(ISNUMBER($G207),$G207&gt;=0,$G207&lt;=1))),"Override not valid, ignored. ","")&amp;IF(AND($A207&lt;&gt;"",COUNTIF($A$5:$A$254,$A207)&gt;1),"Duplicate ID. ","")))</f>
        <v/>
      </c>
    </row>
    <row r="208" customFormat="false" ht="15" hidden="false" customHeight="false" outlineLevel="0" collapsed="false">
      <c r="A208" s="18"/>
      <c r="B208" s="38"/>
      <c r="C208" s="39"/>
      <c r="D208" s="38"/>
      <c r="E208" s="19"/>
      <c r="F208" s="38"/>
      <c r="G208" s="40"/>
      <c r="H208" s="18"/>
      <c r="I208" s="41" t="str">
        <f aca="false">IF(COUNTA($A208:$F208)=0,"",IF($B208="","",IFERROR(INDEX(Ranges!$B$5:$B$16,MATCH($B208,Ranges!$A$5:$A$16,0)),"")))</f>
        <v/>
      </c>
      <c r="J208" s="41" t="str">
        <f aca="false">IF(COUNTA($A208:$F208)=0,"",IF($B208="","",IFERROR(INDEX(Ranges!$C$5:$C$16,MATCH($B208,Ranges!$A$5:$A$16,0)),"")))</f>
        <v/>
      </c>
      <c r="K208" s="41" t="str">
        <f aca="false">IF(COUNTA($A208:$F208)=0,"",IF($B208="","",IFERROR(INDEX(Ranges!$D$5:$D$16,MATCH($B208,Ranges!$A$5:$A$16,0)),"")))</f>
        <v/>
      </c>
      <c r="L208" s="42" t="str">
        <f aca="false">IF(OR(NOT(ISNUMBER($E208)),NOT(ISNUMBER(J208))),"",IF(J208&gt;0,$E208/J208,""))</f>
        <v/>
      </c>
      <c r="M208" s="43" t="str">
        <f aca="false">IF(OR(NOT(ISNUMBER($E208)),NOT(ISNUMBER(I208)),NOT(ISNUMBER(K208))),"",IF(K208&gt;I208,($E208-I208)/(K208-I208),""))</f>
        <v/>
      </c>
      <c r="N208" s="42" t="str">
        <f aca="false">IF(Basis="Compa-ratio",L208,M208)</f>
        <v/>
      </c>
      <c r="O208" s="44" t="str">
        <f aca="false">IF(ISNUMBER(N208),IFERROR(MATCH(N208,Matrix!$C$9:$G$9,1),1),"")</f>
        <v/>
      </c>
      <c r="P208" s="45" t="str">
        <f aca="false">IF(COUNTA($A208:$F208)=0,"",IF(Q208="","Y","N"))</f>
        <v/>
      </c>
      <c r="Q208" s="46" t="str">
        <f aca="false">IF(COUNTA($A208:$F208)=0,"",IF($A208="","ID missing",IF(TRIM($F208)="Exclude","Excluded by plan status",IF(AND(TRIM($F208)&lt;&gt;"",TRIM($F208)&lt;&gt;"Include"),"Plan status not valid (use Include or Exclude)",IF(NOT(ISNUMBER($C208)),"Hire date missing or not a date",IF($C208&gt;Cutoff,"Hired after cutoff",IF(NOT(ISNUMBER($E208)),"Salary missing or not a number",IF($E208&lt;=0,"Salary missing or not a number",IF(OR(NOT(ISNUMBER(I208)),NOT(ISNUMBER(J208)),NOT(ISNUMBER(K208))),"Grade not found in Ranges",IF($D208="","Rating missing",IF($D208="NR","Not rated (NR)",IF(NOT(ISNUMBER(MATCH($D208,Matrix!$A$14:$A$18,0))),"Rating not valid (use 1 to 5 or NR)",IF(NOT(ISNUMBER(O208)),"Band not found (check range and limits)","")))))))))))))</f>
        <v/>
      </c>
      <c r="R208" s="47" t="str">
        <f aca="false">IF($P208="Y",INDEX(Matrix!$C$14:$G$18,MATCH($D208,Matrix!$A$14:$A$18,0),$O208),IF($P208="N",0,""))</f>
        <v/>
      </c>
      <c r="S208" s="47" t="str">
        <f aca="false">IF($P208="Y",IF(AND(ISNUMBER($G208),$G208&gt;=0,$G208&lt;=1),$G208,$R208),IF($P208="N",0,""))</f>
        <v/>
      </c>
      <c r="T208" s="48" t="str">
        <f aca="false">IF($P208&lt;&gt;"Y",IF($P208="N",0,""),IF(ProrateMethod="None",1,IF($C208&lt;=PeriodStart,1,IF(ProrateMethod="Daily",MAX(0,MIN(1,(PeriodEnd-$C208+1)/(PeriodEnd-PeriodStart+1))),MAX(0,MIN(1,((YEAR(PeriodEnd)-YEAR($C208))*12+MONTH(PeriodEnd)-MONTH($C208)+1-IF(DAY($C208)&gt;MonthCutDay,1,0))/PeriodMonths))))))</f>
        <v/>
      </c>
      <c r="U208" s="47" t="str">
        <f aca="false">IF($P208="","",$S208*$T208)</f>
        <v/>
      </c>
      <c r="V208" s="49" t="str">
        <f aca="false">IF($P208="","",IF(ISNUMBER($E208),$E208,0)*$R208)</f>
        <v/>
      </c>
      <c r="W208" s="49" t="str">
        <f aca="false">IF($P208="","",IF(ISNUMBER($E208),$E208,0)*$S208)</f>
        <v/>
      </c>
      <c r="X208" s="49" t="str">
        <f aca="false">IF($P208="","",IF(ISNUMBER($E208),$E208,0)*$U208)</f>
        <v/>
      </c>
      <c r="Y208" s="49" t="str">
        <f aca="false">IF($P208="","",IF(AND(CapAtMax="Yes",$P208="Y"),MAX(0,MIN($X208,$K208-$E208)),$X208))</f>
        <v/>
      </c>
      <c r="Z208" s="41" t="str">
        <f aca="false">IF(OR($P208="",NOT(ISNUMBER($E208))),"",$E208+$Y208)</f>
        <v/>
      </c>
      <c r="AA208" s="42" t="str">
        <f aca="false">IF(AND(ISNUMBER(Z208),ISNUMBER(J208)),IF(J208&gt;0,Z208/J208,""),"")</f>
        <v/>
      </c>
      <c r="AB208" s="46" t="str">
        <f aca="false">IF($P208="","",TRIM(IF(AND($P208="Y",ISNUMBER(K208),ISNUMBER(Z208)),IF(Z208&gt;K208,"Above range max. ",""),"")&amp;IF(AND($P208="Y",ISNUMBER($X208),ISNUMBER($Y208)),IF($X208-$Y208&gt;0.005,"Capped at range max. ",""),"")&amp;IF(AND(AND(ISNUMBER($G208),$G208&gt;=0,$G208&lt;=1),$H208=""),"Override needs a reason. ","")&amp;IF(AND(AND(ISNUMBER($G208),$G208&gt;=0,$G208&lt;=1),$P208&lt;&gt;"Y"),"Override ignored. ","")&amp;IF(AND($G208&lt;&gt;"",NOT(AND(ISNUMBER($G208),$G208&gt;=0,$G208&lt;=1))),"Override not valid, ignored. ","")&amp;IF(AND($A208&lt;&gt;"",COUNTIF($A$5:$A$254,$A208)&gt;1),"Duplicate ID. ","")))</f>
        <v/>
      </c>
    </row>
    <row r="209" customFormat="false" ht="15" hidden="false" customHeight="false" outlineLevel="0" collapsed="false">
      <c r="A209" s="18"/>
      <c r="B209" s="38"/>
      <c r="C209" s="39"/>
      <c r="D209" s="38"/>
      <c r="E209" s="19"/>
      <c r="F209" s="38"/>
      <c r="G209" s="40"/>
      <c r="H209" s="18"/>
      <c r="I209" s="41" t="str">
        <f aca="false">IF(COUNTA($A209:$F209)=0,"",IF($B209="","",IFERROR(INDEX(Ranges!$B$5:$B$16,MATCH($B209,Ranges!$A$5:$A$16,0)),"")))</f>
        <v/>
      </c>
      <c r="J209" s="41" t="str">
        <f aca="false">IF(COUNTA($A209:$F209)=0,"",IF($B209="","",IFERROR(INDEX(Ranges!$C$5:$C$16,MATCH($B209,Ranges!$A$5:$A$16,0)),"")))</f>
        <v/>
      </c>
      <c r="K209" s="41" t="str">
        <f aca="false">IF(COUNTA($A209:$F209)=0,"",IF($B209="","",IFERROR(INDEX(Ranges!$D$5:$D$16,MATCH($B209,Ranges!$A$5:$A$16,0)),"")))</f>
        <v/>
      </c>
      <c r="L209" s="42" t="str">
        <f aca="false">IF(OR(NOT(ISNUMBER($E209)),NOT(ISNUMBER(J209))),"",IF(J209&gt;0,$E209/J209,""))</f>
        <v/>
      </c>
      <c r="M209" s="43" t="str">
        <f aca="false">IF(OR(NOT(ISNUMBER($E209)),NOT(ISNUMBER(I209)),NOT(ISNUMBER(K209))),"",IF(K209&gt;I209,($E209-I209)/(K209-I209),""))</f>
        <v/>
      </c>
      <c r="N209" s="42" t="str">
        <f aca="false">IF(Basis="Compa-ratio",L209,M209)</f>
        <v/>
      </c>
      <c r="O209" s="44" t="str">
        <f aca="false">IF(ISNUMBER(N209),IFERROR(MATCH(N209,Matrix!$C$9:$G$9,1),1),"")</f>
        <v/>
      </c>
      <c r="P209" s="45" t="str">
        <f aca="false">IF(COUNTA($A209:$F209)=0,"",IF(Q209="","Y","N"))</f>
        <v/>
      </c>
      <c r="Q209" s="46" t="str">
        <f aca="false">IF(COUNTA($A209:$F209)=0,"",IF($A209="","ID missing",IF(TRIM($F209)="Exclude","Excluded by plan status",IF(AND(TRIM($F209)&lt;&gt;"",TRIM($F209)&lt;&gt;"Include"),"Plan status not valid (use Include or Exclude)",IF(NOT(ISNUMBER($C209)),"Hire date missing or not a date",IF($C209&gt;Cutoff,"Hired after cutoff",IF(NOT(ISNUMBER($E209)),"Salary missing or not a number",IF($E209&lt;=0,"Salary missing or not a number",IF(OR(NOT(ISNUMBER(I209)),NOT(ISNUMBER(J209)),NOT(ISNUMBER(K209))),"Grade not found in Ranges",IF($D209="","Rating missing",IF($D209="NR","Not rated (NR)",IF(NOT(ISNUMBER(MATCH($D209,Matrix!$A$14:$A$18,0))),"Rating not valid (use 1 to 5 or NR)",IF(NOT(ISNUMBER(O209)),"Band not found (check range and limits)","")))))))))))))</f>
        <v/>
      </c>
      <c r="R209" s="47" t="str">
        <f aca="false">IF($P209="Y",INDEX(Matrix!$C$14:$G$18,MATCH($D209,Matrix!$A$14:$A$18,0),$O209),IF($P209="N",0,""))</f>
        <v/>
      </c>
      <c r="S209" s="47" t="str">
        <f aca="false">IF($P209="Y",IF(AND(ISNUMBER($G209),$G209&gt;=0,$G209&lt;=1),$G209,$R209),IF($P209="N",0,""))</f>
        <v/>
      </c>
      <c r="T209" s="48" t="str">
        <f aca="false">IF($P209&lt;&gt;"Y",IF($P209="N",0,""),IF(ProrateMethod="None",1,IF($C209&lt;=PeriodStart,1,IF(ProrateMethod="Daily",MAX(0,MIN(1,(PeriodEnd-$C209+1)/(PeriodEnd-PeriodStart+1))),MAX(0,MIN(1,((YEAR(PeriodEnd)-YEAR($C209))*12+MONTH(PeriodEnd)-MONTH($C209)+1-IF(DAY($C209)&gt;MonthCutDay,1,0))/PeriodMonths))))))</f>
        <v/>
      </c>
      <c r="U209" s="47" t="str">
        <f aca="false">IF($P209="","",$S209*$T209)</f>
        <v/>
      </c>
      <c r="V209" s="49" t="str">
        <f aca="false">IF($P209="","",IF(ISNUMBER($E209),$E209,0)*$R209)</f>
        <v/>
      </c>
      <c r="W209" s="49" t="str">
        <f aca="false">IF($P209="","",IF(ISNUMBER($E209),$E209,0)*$S209)</f>
        <v/>
      </c>
      <c r="X209" s="49" t="str">
        <f aca="false">IF($P209="","",IF(ISNUMBER($E209),$E209,0)*$U209)</f>
        <v/>
      </c>
      <c r="Y209" s="49" t="str">
        <f aca="false">IF($P209="","",IF(AND(CapAtMax="Yes",$P209="Y"),MAX(0,MIN($X209,$K209-$E209)),$X209))</f>
        <v/>
      </c>
      <c r="Z209" s="41" t="str">
        <f aca="false">IF(OR($P209="",NOT(ISNUMBER($E209))),"",$E209+$Y209)</f>
        <v/>
      </c>
      <c r="AA209" s="42" t="str">
        <f aca="false">IF(AND(ISNUMBER(Z209),ISNUMBER(J209)),IF(J209&gt;0,Z209/J209,""),"")</f>
        <v/>
      </c>
      <c r="AB209" s="46" t="str">
        <f aca="false">IF($P209="","",TRIM(IF(AND($P209="Y",ISNUMBER(K209),ISNUMBER(Z209)),IF(Z209&gt;K209,"Above range max. ",""),"")&amp;IF(AND($P209="Y",ISNUMBER($X209),ISNUMBER($Y209)),IF($X209-$Y209&gt;0.005,"Capped at range max. ",""),"")&amp;IF(AND(AND(ISNUMBER($G209),$G209&gt;=0,$G209&lt;=1),$H209=""),"Override needs a reason. ","")&amp;IF(AND(AND(ISNUMBER($G209),$G209&gt;=0,$G209&lt;=1),$P209&lt;&gt;"Y"),"Override ignored. ","")&amp;IF(AND($G209&lt;&gt;"",NOT(AND(ISNUMBER($G209),$G209&gt;=0,$G209&lt;=1))),"Override not valid, ignored. ","")&amp;IF(AND($A209&lt;&gt;"",COUNTIF($A$5:$A$254,$A209)&gt;1),"Duplicate ID. ","")))</f>
        <v/>
      </c>
    </row>
    <row r="210" customFormat="false" ht="15" hidden="false" customHeight="false" outlineLevel="0" collapsed="false">
      <c r="A210" s="18"/>
      <c r="B210" s="38"/>
      <c r="C210" s="39"/>
      <c r="D210" s="38"/>
      <c r="E210" s="19"/>
      <c r="F210" s="38"/>
      <c r="G210" s="40"/>
      <c r="H210" s="18"/>
      <c r="I210" s="41" t="str">
        <f aca="false">IF(COUNTA($A210:$F210)=0,"",IF($B210="","",IFERROR(INDEX(Ranges!$B$5:$B$16,MATCH($B210,Ranges!$A$5:$A$16,0)),"")))</f>
        <v/>
      </c>
      <c r="J210" s="41" t="str">
        <f aca="false">IF(COUNTA($A210:$F210)=0,"",IF($B210="","",IFERROR(INDEX(Ranges!$C$5:$C$16,MATCH($B210,Ranges!$A$5:$A$16,0)),"")))</f>
        <v/>
      </c>
      <c r="K210" s="41" t="str">
        <f aca="false">IF(COUNTA($A210:$F210)=0,"",IF($B210="","",IFERROR(INDEX(Ranges!$D$5:$D$16,MATCH($B210,Ranges!$A$5:$A$16,0)),"")))</f>
        <v/>
      </c>
      <c r="L210" s="42" t="str">
        <f aca="false">IF(OR(NOT(ISNUMBER($E210)),NOT(ISNUMBER(J210))),"",IF(J210&gt;0,$E210/J210,""))</f>
        <v/>
      </c>
      <c r="M210" s="43" t="str">
        <f aca="false">IF(OR(NOT(ISNUMBER($E210)),NOT(ISNUMBER(I210)),NOT(ISNUMBER(K210))),"",IF(K210&gt;I210,($E210-I210)/(K210-I210),""))</f>
        <v/>
      </c>
      <c r="N210" s="42" t="str">
        <f aca="false">IF(Basis="Compa-ratio",L210,M210)</f>
        <v/>
      </c>
      <c r="O210" s="44" t="str">
        <f aca="false">IF(ISNUMBER(N210),IFERROR(MATCH(N210,Matrix!$C$9:$G$9,1),1),"")</f>
        <v/>
      </c>
      <c r="P210" s="45" t="str">
        <f aca="false">IF(COUNTA($A210:$F210)=0,"",IF(Q210="","Y","N"))</f>
        <v/>
      </c>
      <c r="Q210" s="46" t="str">
        <f aca="false">IF(COUNTA($A210:$F210)=0,"",IF($A210="","ID missing",IF(TRIM($F210)="Exclude","Excluded by plan status",IF(AND(TRIM($F210)&lt;&gt;"",TRIM($F210)&lt;&gt;"Include"),"Plan status not valid (use Include or Exclude)",IF(NOT(ISNUMBER($C210)),"Hire date missing or not a date",IF($C210&gt;Cutoff,"Hired after cutoff",IF(NOT(ISNUMBER($E210)),"Salary missing or not a number",IF($E210&lt;=0,"Salary missing or not a number",IF(OR(NOT(ISNUMBER(I210)),NOT(ISNUMBER(J210)),NOT(ISNUMBER(K210))),"Grade not found in Ranges",IF($D210="","Rating missing",IF($D210="NR","Not rated (NR)",IF(NOT(ISNUMBER(MATCH($D210,Matrix!$A$14:$A$18,0))),"Rating not valid (use 1 to 5 or NR)",IF(NOT(ISNUMBER(O210)),"Band not found (check range and limits)","")))))))))))))</f>
        <v/>
      </c>
      <c r="R210" s="47" t="str">
        <f aca="false">IF($P210="Y",INDEX(Matrix!$C$14:$G$18,MATCH($D210,Matrix!$A$14:$A$18,0),$O210),IF($P210="N",0,""))</f>
        <v/>
      </c>
      <c r="S210" s="47" t="str">
        <f aca="false">IF($P210="Y",IF(AND(ISNUMBER($G210),$G210&gt;=0,$G210&lt;=1),$G210,$R210),IF($P210="N",0,""))</f>
        <v/>
      </c>
      <c r="T210" s="48" t="str">
        <f aca="false">IF($P210&lt;&gt;"Y",IF($P210="N",0,""),IF(ProrateMethod="None",1,IF($C210&lt;=PeriodStart,1,IF(ProrateMethod="Daily",MAX(0,MIN(1,(PeriodEnd-$C210+1)/(PeriodEnd-PeriodStart+1))),MAX(0,MIN(1,((YEAR(PeriodEnd)-YEAR($C210))*12+MONTH(PeriodEnd)-MONTH($C210)+1-IF(DAY($C210)&gt;MonthCutDay,1,0))/PeriodMonths))))))</f>
        <v/>
      </c>
      <c r="U210" s="47" t="str">
        <f aca="false">IF($P210="","",$S210*$T210)</f>
        <v/>
      </c>
      <c r="V210" s="49" t="str">
        <f aca="false">IF($P210="","",IF(ISNUMBER($E210),$E210,0)*$R210)</f>
        <v/>
      </c>
      <c r="W210" s="49" t="str">
        <f aca="false">IF($P210="","",IF(ISNUMBER($E210),$E210,0)*$S210)</f>
        <v/>
      </c>
      <c r="X210" s="49" t="str">
        <f aca="false">IF($P210="","",IF(ISNUMBER($E210),$E210,0)*$U210)</f>
        <v/>
      </c>
      <c r="Y210" s="49" t="str">
        <f aca="false">IF($P210="","",IF(AND(CapAtMax="Yes",$P210="Y"),MAX(0,MIN($X210,$K210-$E210)),$X210))</f>
        <v/>
      </c>
      <c r="Z210" s="41" t="str">
        <f aca="false">IF(OR($P210="",NOT(ISNUMBER($E210))),"",$E210+$Y210)</f>
        <v/>
      </c>
      <c r="AA210" s="42" t="str">
        <f aca="false">IF(AND(ISNUMBER(Z210),ISNUMBER(J210)),IF(J210&gt;0,Z210/J210,""),"")</f>
        <v/>
      </c>
      <c r="AB210" s="46" t="str">
        <f aca="false">IF($P210="","",TRIM(IF(AND($P210="Y",ISNUMBER(K210),ISNUMBER(Z210)),IF(Z210&gt;K210,"Above range max. ",""),"")&amp;IF(AND($P210="Y",ISNUMBER($X210),ISNUMBER($Y210)),IF($X210-$Y210&gt;0.005,"Capped at range max. ",""),"")&amp;IF(AND(AND(ISNUMBER($G210),$G210&gt;=0,$G210&lt;=1),$H210=""),"Override needs a reason. ","")&amp;IF(AND(AND(ISNUMBER($G210),$G210&gt;=0,$G210&lt;=1),$P210&lt;&gt;"Y"),"Override ignored. ","")&amp;IF(AND($G210&lt;&gt;"",NOT(AND(ISNUMBER($G210),$G210&gt;=0,$G210&lt;=1))),"Override not valid, ignored. ","")&amp;IF(AND($A210&lt;&gt;"",COUNTIF($A$5:$A$254,$A210)&gt;1),"Duplicate ID. ","")))</f>
        <v/>
      </c>
    </row>
    <row r="211" customFormat="false" ht="15" hidden="false" customHeight="false" outlineLevel="0" collapsed="false">
      <c r="A211" s="18"/>
      <c r="B211" s="38"/>
      <c r="C211" s="39"/>
      <c r="D211" s="38"/>
      <c r="E211" s="19"/>
      <c r="F211" s="38"/>
      <c r="G211" s="40"/>
      <c r="H211" s="18"/>
      <c r="I211" s="41" t="str">
        <f aca="false">IF(COUNTA($A211:$F211)=0,"",IF($B211="","",IFERROR(INDEX(Ranges!$B$5:$B$16,MATCH($B211,Ranges!$A$5:$A$16,0)),"")))</f>
        <v/>
      </c>
      <c r="J211" s="41" t="str">
        <f aca="false">IF(COUNTA($A211:$F211)=0,"",IF($B211="","",IFERROR(INDEX(Ranges!$C$5:$C$16,MATCH($B211,Ranges!$A$5:$A$16,0)),"")))</f>
        <v/>
      </c>
      <c r="K211" s="41" t="str">
        <f aca="false">IF(COUNTA($A211:$F211)=0,"",IF($B211="","",IFERROR(INDEX(Ranges!$D$5:$D$16,MATCH($B211,Ranges!$A$5:$A$16,0)),"")))</f>
        <v/>
      </c>
      <c r="L211" s="42" t="str">
        <f aca="false">IF(OR(NOT(ISNUMBER($E211)),NOT(ISNUMBER(J211))),"",IF(J211&gt;0,$E211/J211,""))</f>
        <v/>
      </c>
      <c r="M211" s="43" t="str">
        <f aca="false">IF(OR(NOT(ISNUMBER($E211)),NOT(ISNUMBER(I211)),NOT(ISNUMBER(K211))),"",IF(K211&gt;I211,($E211-I211)/(K211-I211),""))</f>
        <v/>
      </c>
      <c r="N211" s="42" t="str">
        <f aca="false">IF(Basis="Compa-ratio",L211,M211)</f>
        <v/>
      </c>
      <c r="O211" s="44" t="str">
        <f aca="false">IF(ISNUMBER(N211),IFERROR(MATCH(N211,Matrix!$C$9:$G$9,1),1),"")</f>
        <v/>
      </c>
      <c r="P211" s="45" t="str">
        <f aca="false">IF(COUNTA($A211:$F211)=0,"",IF(Q211="","Y","N"))</f>
        <v/>
      </c>
      <c r="Q211" s="46" t="str">
        <f aca="false">IF(COUNTA($A211:$F211)=0,"",IF($A211="","ID missing",IF(TRIM($F211)="Exclude","Excluded by plan status",IF(AND(TRIM($F211)&lt;&gt;"",TRIM($F211)&lt;&gt;"Include"),"Plan status not valid (use Include or Exclude)",IF(NOT(ISNUMBER($C211)),"Hire date missing or not a date",IF($C211&gt;Cutoff,"Hired after cutoff",IF(NOT(ISNUMBER($E211)),"Salary missing or not a number",IF($E211&lt;=0,"Salary missing or not a number",IF(OR(NOT(ISNUMBER(I211)),NOT(ISNUMBER(J211)),NOT(ISNUMBER(K211))),"Grade not found in Ranges",IF($D211="","Rating missing",IF($D211="NR","Not rated (NR)",IF(NOT(ISNUMBER(MATCH($D211,Matrix!$A$14:$A$18,0))),"Rating not valid (use 1 to 5 or NR)",IF(NOT(ISNUMBER(O211)),"Band not found (check range and limits)","")))))))))))))</f>
        <v/>
      </c>
      <c r="R211" s="47" t="str">
        <f aca="false">IF($P211="Y",INDEX(Matrix!$C$14:$G$18,MATCH($D211,Matrix!$A$14:$A$18,0),$O211),IF($P211="N",0,""))</f>
        <v/>
      </c>
      <c r="S211" s="47" t="str">
        <f aca="false">IF($P211="Y",IF(AND(ISNUMBER($G211),$G211&gt;=0,$G211&lt;=1),$G211,$R211),IF($P211="N",0,""))</f>
        <v/>
      </c>
      <c r="T211" s="48" t="str">
        <f aca="false">IF($P211&lt;&gt;"Y",IF($P211="N",0,""),IF(ProrateMethod="None",1,IF($C211&lt;=PeriodStart,1,IF(ProrateMethod="Daily",MAX(0,MIN(1,(PeriodEnd-$C211+1)/(PeriodEnd-PeriodStart+1))),MAX(0,MIN(1,((YEAR(PeriodEnd)-YEAR($C211))*12+MONTH(PeriodEnd)-MONTH($C211)+1-IF(DAY($C211)&gt;MonthCutDay,1,0))/PeriodMonths))))))</f>
        <v/>
      </c>
      <c r="U211" s="47" t="str">
        <f aca="false">IF($P211="","",$S211*$T211)</f>
        <v/>
      </c>
      <c r="V211" s="49" t="str">
        <f aca="false">IF($P211="","",IF(ISNUMBER($E211),$E211,0)*$R211)</f>
        <v/>
      </c>
      <c r="W211" s="49" t="str">
        <f aca="false">IF($P211="","",IF(ISNUMBER($E211),$E211,0)*$S211)</f>
        <v/>
      </c>
      <c r="X211" s="49" t="str">
        <f aca="false">IF($P211="","",IF(ISNUMBER($E211),$E211,0)*$U211)</f>
        <v/>
      </c>
      <c r="Y211" s="49" t="str">
        <f aca="false">IF($P211="","",IF(AND(CapAtMax="Yes",$P211="Y"),MAX(0,MIN($X211,$K211-$E211)),$X211))</f>
        <v/>
      </c>
      <c r="Z211" s="41" t="str">
        <f aca="false">IF(OR($P211="",NOT(ISNUMBER($E211))),"",$E211+$Y211)</f>
        <v/>
      </c>
      <c r="AA211" s="42" t="str">
        <f aca="false">IF(AND(ISNUMBER(Z211),ISNUMBER(J211)),IF(J211&gt;0,Z211/J211,""),"")</f>
        <v/>
      </c>
      <c r="AB211" s="46" t="str">
        <f aca="false">IF($P211="","",TRIM(IF(AND($P211="Y",ISNUMBER(K211),ISNUMBER(Z211)),IF(Z211&gt;K211,"Above range max. ",""),"")&amp;IF(AND($P211="Y",ISNUMBER($X211),ISNUMBER($Y211)),IF($X211-$Y211&gt;0.005,"Capped at range max. ",""),"")&amp;IF(AND(AND(ISNUMBER($G211),$G211&gt;=0,$G211&lt;=1),$H211=""),"Override needs a reason. ","")&amp;IF(AND(AND(ISNUMBER($G211),$G211&gt;=0,$G211&lt;=1),$P211&lt;&gt;"Y"),"Override ignored. ","")&amp;IF(AND($G211&lt;&gt;"",NOT(AND(ISNUMBER($G211),$G211&gt;=0,$G211&lt;=1))),"Override not valid, ignored. ","")&amp;IF(AND($A211&lt;&gt;"",COUNTIF($A$5:$A$254,$A211)&gt;1),"Duplicate ID. ","")))</f>
        <v/>
      </c>
    </row>
    <row r="212" customFormat="false" ht="15" hidden="false" customHeight="false" outlineLevel="0" collapsed="false">
      <c r="A212" s="18"/>
      <c r="B212" s="38"/>
      <c r="C212" s="39"/>
      <c r="D212" s="38"/>
      <c r="E212" s="19"/>
      <c r="F212" s="38"/>
      <c r="G212" s="40"/>
      <c r="H212" s="18"/>
      <c r="I212" s="41" t="str">
        <f aca="false">IF(COUNTA($A212:$F212)=0,"",IF($B212="","",IFERROR(INDEX(Ranges!$B$5:$B$16,MATCH($B212,Ranges!$A$5:$A$16,0)),"")))</f>
        <v/>
      </c>
      <c r="J212" s="41" t="str">
        <f aca="false">IF(COUNTA($A212:$F212)=0,"",IF($B212="","",IFERROR(INDEX(Ranges!$C$5:$C$16,MATCH($B212,Ranges!$A$5:$A$16,0)),"")))</f>
        <v/>
      </c>
      <c r="K212" s="41" t="str">
        <f aca="false">IF(COUNTA($A212:$F212)=0,"",IF($B212="","",IFERROR(INDEX(Ranges!$D$5:$D$16,MATCH($B212,Ranges!$A$5:$A$16,0)),"")))</f>
        <v/>
      </c>
      <c r="L212" s="42" t="str">
        <f aca="false">IF(OR(NOT(ISNUMBER($E212)),NOT(ISNUMBER(J212))),"",IF(J212&gt;0,$E212/J212,""))</f>
        <v/>
      </c>
      <c r="M212" s="43" t="str">
        <f aca="false">IF(OR(NOT(ISNUMBER($E212)),NOT(ISNUMBER(I212)),NOT(ISNUMBER(K212))),"",IF(K212&gt;I212,($E212-I212)/(K212-I212),""))</f>
        <v/>
      </c>
      <c r="N212" s="42" t="str">
        <f aca="false">IF(Basis="Compa-ratio",L212,M212)</f>
        <v/>
      </c>
      <c r="O212" s="44" t="str">
        <f aca="false">IF(ISNUMBER(N212),IFERROR(MATCH(N212,Matrix!$C$9:$G$9,1),1),"")</f>
        <v/>
      </c>
      <c r="P212" s="45" t="str">
        <f aca="false">IF(COUNTA($A212:$F212)=0,"",IF(Q212="","Y","N"))</f>
        <v/>
      </c>
      <c r="Q212" s="46" t="str">
        <f aca="false">IF(COUNTA($A212:$F212)=0,"",IF($A212="","ID missing",IF(TRIM($F212)="Exclude","Excluded by plan status",IF(AND(TRIM($F212)&lt;&gt;"",TRIM($F212)&lt;&gt;"Include"),"Plan status not valid (use Include or Exclude)",IF(NOT(ISNUMBER($C212)),"Hire date missing or not a date",IF($C212&gt;Cutoff,"Hired after cutoff",IF(NOT(ISNUMBER($E212)),"Salary missing or not a number",IF($E212&lt;=0,"Salary missing or not a number",IF(OR(NOT(ISNUMBER(I212)),NOT(ISNUMBER(J212)),NOT(ISNUMBER(K212))),"Grade not found in Ranges",IF($D212="","Rating missing",IF($D212="NR","Not rated (NR)",IF(NOT(ISNUMBER(MATCH($D212,Matrix!$A$14:$A$18,0))),"Rating not valid (use 1 to 5 or NR)",IF(NOT(ISNUMBER(O212)),"Band not found (check range and limits)","")))))))))))))</f>
        <v/>
      </c>
      <c r="R212" s="47" t="str">
        <f aca="false">IF($P212="Y",INDEX(Matrix!$C$14:$G$18,MATCH($D212,Matrix!$A$14:$A$18,0),$O212),IF($P212="N",0,""))</f>
        <v/>
      </c>
      <c r="S212" s="47" t="str">
        <f aca="false">IF($P212="Y",IF(AND(ISNUMBER($G212),$G212&gt;=0,$G212&lt;=1),$G212,$R212),IF($P212="N",0,""))</f>
        <v/>
      </c>
      <c r="T212" s="48" t="str">
        <f aca="false">IF($P212&lt;&gt;"Y",IF($P212="N",0,""),IF(ProrateMethod="None",1,IF($C212&lt;=PeriodStart,1,IF(ProrateMethod="Daily",MAX(0,MIN(1,(PeriodEnd-$C212+1)/(PeriodEnd-PeriodStart+1))),MAX(0,MIN(1,((YEAR(PeriodEnd)-YEAR($C212))*12+MONTH(PeriodEnd)-MONTH($C212)+1-IF(DAY($C212)&gt;MonthCutDay,1,0))/PeriodMonths))))))</f>
        <v/>
      </c>
      <c r="U212" s="47" t="str">
        <f aca="false">IF($P212="","",$S212*$T212)</f>
        <v/>
      </c>
      <c r="V212" s="49" t="str">
        <f aca="false">IF($P212="","",IF(ISNUMBER($E212),$E212,0)*$R212)</f>
        <v/>
      </c>
      <c r="W212" s="49" t="str">
        <f aca="false">IF($P212="","",IF(ISNUMBER($E212),$E212,0)*$S212)</f>
        <v/>
      </c>
      <c r="X212" s="49" t="str">
        <f aca="false">IF($P212="","",IF(ISNUMBER($E212),$E212,0)*$U212)</f>
        <v/>
      </c>
      <c r="Y212" s="49" t="str">
        <f aca="false">IF($P212="","",IF(AND(CapAtMax="Yes",$P212="Y"),MAX(0,MIN($X212,$K212-$E212)),$X212))</f>
        <v/>
      </c>
      <c r="Z212" s="41" t="str">
        <f aca="false">IF(OR($P212="",NOT(ISNUMBER($E212))),"",$E212+$Y212)</f>
        <v/>
      </c>
      <c r="AA212" s="42" t="str">
        <f aca="false">IF(AND(ISNUMBER(Z212),ISNUMBER(J212)),IF(J212&gt;0,Z212/J212,""),"")</f>
        <v/>
      </c>
      <c r="AB212" s="46" t="str">
        <f aca="false">IF($P212="","",TRIM(IF(AND($P212="Y",ISNUMBER(K212),ISNUMBER(Z212)),IF(Z212&gt;K212,"Above range max. ",""),"")&amp;IF(AND($P212="Y",ISNUMBER($X212),ISNUMBER($Y212)),IF($X212-$Y212&gt;0.005,"Capped at range max. ",""),"")&amp;IF(AND(AND(ISNUMBER($G212),$G212&gt;=0,$G212&lt;=1),$H212=""),"Override needs a reason. ","")&amp;IF(AND(AND(ISNUMBER($G212),$G212&gt;=0,$G212&lt;=1),$P212&lt;&gt;"Y"),"Override ignored. ","")&amp;IF(AND($G212&lt;&gt;"",NOT(AND(ISNUMBER($G212),$G212&gt;=0,$G212&lt;=1))),"Override not valid, ignored. ","")&amp;IF(AND($A212&lt;&gt;"",COUNTIF($A$5:$A$254,$A212)&gt;1),"Duplicate ID. ","")))</f>
        <v/>
      </c>
    </row>
    <row r="213" customFormat="false" ht="15" hidden="false" customHeight="false" outlineLevel="0" collapsed="false">
      <c r="A213" s="18"/>
      <c r="B213" s="38"/>
      <c r="C213" s="39"/>
      <c r="D213" s="38"/>
      <c r="E213" s="19"/>
      <c r="F213" s="38"/>
      <c r="G213" s="40"/>
      <c r="H213" s="18"/>
      <c r="I213" s="41" t="str">
        <f aca="false">IF(COUNTA($A213:$F213)=0,"",IF($B213="","",IFERROR(INDEX(Ranges!$B$5:$B$16,MATCH($B213,Ranges!$A$5:$A$16,0)),"")))</f>
        <v/>
      </c>
      <c r="J213" s="41" t="str">
        <f aca="false">IF(COUNTA($A213:$F213)=0,"",IF($B213="","",IFERROR(INDEX(Ranges!$C$5:$C$16,MATCH($B213,Ranges!$A$5:$A$16,0)),"")))</f>
        <v/>
      </c>
      <c r="K213" s="41" t="str">
        <f aca="false">IF(COUNTA($A213:$F213)=0,"",IF($B213="","",IFERROR(INDEX(Ranges!$D$5:$D$16,MATCH($B213,Ranges!$A$5:$A$16,0)),"")))</f>
        <v/>
      </c>
      <c r="L213" s="42" t="str">
        <f aca="false">IF(OR(NOT(ISNUMBER($E213)),NOT(ISNUMBER(J213))),"",IF(J213&gt;0,$E213/J213,""))</f>
        <v/>
      </c>
      <c r="M213" s="43" t="str">
        <f aca="false">IF(OR(NOT(ISNUMBER($E213)),NOT(ISNUMBER(I213)),NOT(ISNUMBER(K213))),"",IF(K213&gt;I213,($E213-I213)/(K213-I213),""))</f>
        <v/>
      </c>
      <c r="N213" s="42" t="str">
        <f aca="false">IF(Basis="Compa-ratio",L213,M213)</f>
        <v/>
      </c>
      <c r="O213" s="44" t="str">
        <f aca="false">IF(ISNUMBER(N213),IFERROR(MATCH(N213,Matrix!$C$9:$G$9,1),1),"")</f>
        <v/>
      </c>
      <c r="P213" s="45" t="str">
        <f aca="false">IF(COUNTA($A213:$F213)=0,"",IF(Q213="","Y","N"))</f>
        <v/>
      </c>
      <c r="Q213" s="46" t="str">
        <f aca="false">IF(COUNTA($A213:$F213)=0,"",IF($A213="","ID missing",IF(TRIM($F213)="Exclude","Excluded by plan status",IF(AND(TRIM($F213)&lt;&gt;"",TRIM($F213)&lt;&gt;"Include"),"Plan status not valid (use Include or Exclude)",IF(NOT(ISNUMBER($C213)),"Hire date missing or not a date",IF($C213&gt;Cutoff,"Hired after cutoff",IF(NOT(ISNUMBER($E213)),"Salary missing or not a number",IF($E213&lt;=0,"Salary missing or not a number",IF(OR(NOT(ISNUMBER(I213)),NOT(ISNUMBER(J213)),NOT(ISNUMBER(K213))),"Grade not found in Ranges",IF($D213="","Rating missing",IF($D213="NR","Not rated (NR)",IF(NOT(ISNUMBER(MATCH($D213,Matrix!$A$14:$A$18,0))),"Rating not valid (use 1 to 5 or NR)",IF(NOT(ISNUMBER(O213)),"Band not found (check range and limits)","")))))))))))))</f>
        <v/>
      </c>
      <c r="R213" s="47" t="str">
        <f aca="false">IF($P213="Y",INDEX(Matrix!$C$14:$G$18,MATCH($D213,Matrix!$A$14:$A$18,0),$O213),IF($P213="N",0,""))</f>
        <v/>
      </c>
      <c r="S213" s="47" t="str">
        <f aca="false">IF($P213="Y",IF(AND(ISNUMBER($G213),$G213&gt;=0,$G213&lt;=1),$G213,$R213),IF($P213="N",0,""))</f>
        <v/>
      </c>
      <c r="T213" s="48" t="str">
        <f aca="false">IF($P213&lt;&gt;"Y",IF($P213="N",0,""),IF(ProrateMethod="None",1,IF($C213&lt;=PeriodStart,1,IF(ProrateMethod="Daily",MAX(0,MIN(1,(PeriodEnd-$C213+1)/(PeriodEnd-PeriodStart+1))),MAX(0,MIN(1,((YEAR(PeriodEnd)-YEAR($C213))*12+MONTH(PeriodEnd)-MONTH($C213)+1-IF(DAY($C213)&gt;MonthCutDay,1,0))/PeriodMonths))))))</f>
        <v/>
      </c>
      <c r="U213" s="47" t="str">
        <f aca="false">IF($P213="","",$S213*$T213)</f>
        <v/>
      </c>
      <c r="V213" s="49" t="str">
        <f aca="false">IF($P213="","",IF(ISNUMBER($E213),$E213,0)*$R213)</f>
        <v/>
      </c>
      <c r="W213" s="49" t="str">
        <f aca="false">IF($P213="","",IF(ISNUMBER($E213),$E213,0)*$S213)</f>
        <v/>
      </c>
      <c r="X213" s="49" t="str">
        <f aca="false">IF($P213="","",IF(ISNUMBER($E213),$E213,0)*$U213)</f>
        <v/>
      </c>
      <c r="Y213" s="49" t="str">
        <f aca="false">IF($P213="","",IF(AND(CapAtMax="Yes",$P213="Y"),MAX(0,MIN($X213,$K213-$E213)),$X213))</f>
        <v/>
      </c>
      <c r="Z213" s="41" t="str">
        <f aca="false">IF(OR($P213="",NOT(ISNUMBER($E213))),"",$E213+$Y213)</f>
        <v/>
      </c>
      <c r="AA213" s="42" t="str">
        <f aca="false">IF(AND(ISNUMBER(Z213),ISNUMBER(J213)),IF(J213&gt;0,Z213/J213,""),"")</f>
        <v/>
      </c>
      <c r="AB213" s="46" t="str">
        <f aca="false">IF($P213="","",TRIM(IF(AND($P213="Y",ISNUMBER(K213),ISNUMBER(Z213)),IF(Z213&gt;K213,"Above range max. ",""),"")&amp;IF(AND($P213="Y",ISNUMBER($X213),ISNUMBER($Y213)),IF($X213-$Y213&gt;0.005,"Capped at range max. ",""),"")&amp;IF(AND(AND(ISNUMBER($G213),$G213&gt;=0,$G213&lt;=1),$H213=""),"Override needs a reason. ","")&amp;IF(AND(AND(ISNUMBER($G213),$G213&gt;=0,$G213&lt;=1),$P213&lt;&gt;"Y"),"Override ignored. ","")&amp;IF(AND($G213&lt;&gt;"",NOT(AND(ISNUMBER($G213),$G213&gt;=0,$G213&lt;=1))),"Override not valid, ignored. ","")&amp;IF(AND($A213&lt;&gt;"",COUNTIF($A$5:$A$254,$A213)&gt;1),"Duplicate ID. ","")))</f>
        <v/>
      </c>
    </row>
    <row r="214" customFormat="false" ht="15" hidden="false" customHeight="false" outlineLevel="0" collapsed="false">
      <c r="A214" s="18"/>
      <c r="B214" s="38"/>
      <c r="C214" s="39"/>
      <c r="D214" s="38"/>
      <c r="E214" s="19"/>
      <c r="F214" s="38"/>
      <c r="G214" s="40"/>
      <c r="H214" s="18"/>
      <c r="I214" s="41" t="str">
        <f aca="false">IF(COUNTA($A214:$F214)=0,"",IF($B214="","",IFERROR(INDEX(Ranges!$B$5:$B$16,MATCH($B214,Ranges!$A$5:$A$16,0)),"")))</f>
        <v/>
      </c>
      <c r="J214" s="41" t="str">
        <f aca="false">IF(COUNTA($A214:$F214)=0,"",IF($B214="","",IFERROR(INDEX(Ranges!$C$5:$C$16,MATCH($B214,Ranges!$A$5:$A$16,0)),"")))</f>
        <v/>
      </c>
      <c r="K214" s="41" t="str">
        <f aca="false">IF(COUNTA($A214:$F214)=0,"",IF($B214="","",IFERROR(INDEX(Ranges!$D$5:$D$16,MATCH($B214,Ranges!$A$5:$A$16,0)),"")))</f>
        <v/>
      </c>
      <c r="L214" s="42" t="str">
        <f aca="false">IF(OR(NOT(ISNUMBER($E214)),NOT(ISNUMBER(J214))),"",IF(J214&gt;0,$E214/J214,""))</f>
        <v/>
      </c>
      <c r="M214" s="43" t="str">
        <f aca="false">IF(OR(NOT(ISNUMBER($E214)),NOT(ISNUMBER(I214)),NOT(ISNUMBER(K214))),"",IF(K214&gt;I214,($E214-I214)/(K214-I214),""))</f>
        <v/>
      </c>
      <c r="N214" s="42" t="str">
        <f aca="false">IF(Basis="Compa-ratio",L214,M214)</f>
        <v/>
      </c>
      <c r="O214" s="44" t="str">
        <f aca="false">IF(ISNUMBER(N214),IFERROR(MATCH(N214,Matrix!$C$9:$G$9,1),1),"")</f>
        <v/>
      </c>
      <c r="P214" s="45" t="str">
        <f aca="false">IF(COUNTA($A214:$F214)=0,"",IF(Q214="","Y","N"))</f>
        <v/>
      </c>
      <c r="Q214" s="46" t="str">
        <f aca="false">IF(COUNTA($A214:$F214)=0,"",IF($A214="","ID missing",IF(TRIM($F214)="Exclude","Excluded by plan status",IF(AND(TRIM($F214)&lt;&gt;"",TRIM($F214)&lt;&gt;"Include"),"Plan status not valid (use Include or Exclude)",IF(NOT(ISNUMBER($C214)),"Hire date missing or not a date",IF($C214&gt;Cutoff,"Hired after cutoff",IF(NOT(ISNUMBER($E214)),"Salary missing or not a number",IF($E214&lt;=0,"Salary missing or not a number",IF(OR(NOT(ISNUMBER(I214)),NOT(ISNUMBER(J214)),NOT(ISNUMBER(K214))),"Grade not found in Ranges",IF($D214="","Rating missing",IF($D214="NR","Not rated (NR)",IF(NOT(ISNUMBER(MATCH($D214,Matrix!$A$14:$A$18,0))),"Rating not valid (use 1 to 5 or NR)",IF(NOT(ISNUMBER(O214)),"Band not found (check range and limits)","")))))))))))))</f>
        <v/>
      </c>
      <c r="R214" s="47" t="str">
        <f aca="false">IF($P214="Y",INDEX(Matrix!$C$14:$G$18,MATCH($D214,Matrix!$A$14:$A$18,0),$O214),IF($P214="N",0,""))</f>
        <v/>
      </c>
      <c r="S214" s="47" t="str">
        <f aca="false">IF($P214="Y",IF(AND(ISNUMBER($G214),$G214&gt;=0,$G214&lt;=1),$G214,$R214),IF($P214="N",0,""))</f>
        <v/>
      </c>
      <c r="T214" s="48" t="str">
        <f aca="false">IF($P214&lt;&gt;"Y",IF($P214="N",0,""),IF(ProrateMethod="None",1,IF($C214&lt;=PeriodStart,1,IF(ProrateMethod="Daily",MAX(0,MIN(1,(PeriodEnd-$C214+1)/(PeriodEnd-PeriodStart+1))),MAX(0,MIN(1,((YEAR(PeriodEnd)-YEAR($C214))*12+MONTH(PeriodEnd)-MONTH($C214)+1-IF(DAY($C214)&gt;MonthCutDay,1,0))/PeriodMonths))))))</f>
        <v/>
      </c>
      <c r="U214" s="47" t="str">
        <f aca="false">IF($P214="","",$S214*$T214)</f>
        <v/>
      </c>
      <c r="V214" s="49" t="str">
        <f aca="false">IF($P214="","",IF(ISNUMBER($E214),$E214,0)*$R214)</f>
        <v/>
      </c>
      <c r="W214" s="49" t="str">
        <f aca="false">IF($P214="","",IF(ISNUMBER($E214),$E214,0)*$S214)</f>
        <v/>
      </c>
      <c r="X214" s="49" t="str">
        <f aca="false">IF($P214="","",IF(ISNUMBER($E214),$E214,0)*$U214)</f>
        <v/>
      </c>
      <c r="Y214" s="49" t="str">
        <f aca="false">IF($P214="","",IF(AND(CapAtMax="Yes",$P214="Y"),MAX(0,MIN($X214,$K214-$E214)),$X214))</f>
        <v/>
      </c>
      <c r="Z214" s="41" t="str">
        <f aca="false">IF(OR($P214="",NOT(ISNUMBER($E214))),"",$E214+$Y214)</f>
        <v/>
      </c>
      <c r="AA214" s="42" t="str">
        <f aca="false">IF(AND(ISNUMBER(Z214),ISNUMBER(J214)),IF(J214&gt;0,Z214/J214,""),"")</f>
        <v/>
      </c>
      <c r="AB214" s="46" t="str">
        <f aca="false">IF($P214="","",TRIM(IF(AND($P214="Y",ISNUMBER(K214),ISNUMBER(Z214)),IF(Z214&gt;K214,"Above range max. ",""),"")&amp;IF(AND($P214="Y",ISNUMBER($X214),ISNUMBER($Y214)),IF($X214-$Y214&gt;0.005,"Capped at range max. ",""),"")&amp;IF(AND(AND(ISNUMBER($G214),$G214&gt;=0,$G214&lt;=1),$H214=""),"Override needs a reason. ","")&amp;IF(AND(AND(ISNUMBER($G214),$G214&gt;=0,$G214&lt;=1),$P214&lt;&gt;"Y"),"Override ignored. ","")&amp;IF(AND($G214&lt;&gt;"",NOT(AND(ISNUMBER($G214),$G214&gt;=0,$G214&lt;=1))),"Override not valid, ignored. ","")&amp;IF(AND($A214&lt;&gt;"",COUNTIF($A$5:$A$254,$A214)&gt;1),"Duplicate ID. ","")))</f>
        <v/>
      </c>
    </row>
    <row r="215" customFormat="false" ht="15" hidden="false" customHeight="false" outlineLevel="0" collapsed="false">
      <c r="A215" s="18"/>
      <c r="B215" s="38"/>
      <c r="C215" s="39"/>
      <c r="D215" s="38"/>
      <c r="E215" s="19"/>
      <c r="F215" s="38"/>
      <c r="G215" s="40"/>
      <c r="H215" s="18"/>
      <c r="I215" s="41" t="str">
        <f aca="false">IF(COUNTA($A215:$F215)=0,"",IF($B215="","",IFERROR(INDEX(Ranges!$B$5:$B$16,MATCH($B215,Ranges!$A$5:$A$16,0)),"")))</f>
        <v/>
      </c>
      <c r="J215" s="41" t="str">
        <f aca="false">IF(COUNTA($A215:$F215)=0,"",IF($B215="","",IFERROR(INDEX(Ranges!$C$5:$C$16,MATCH($B215,Ranges!$A$5:$A$16,0)),"")))</f>
        <v/>
      </c>
      <c r="K215" s="41" t="str">
        <f aca="false">IF(COUNTA($A215:$F215)=0,"",IF($B215="","",IFERROR(INDEX(Ranges!$D$5:$D$16,MATCH($B215,Ranges!$A$5:$A$16,0)),"")))</f>
        <v/>
      </c>
      <c r="L215" s="42" t="str">
        <f aca="false">IF(OR(NOT(ISNUMBER($E215)),NOT(ISNUMBER(J215))),"",IF(J215&gt;0,$E215/J215,""))</f>
        <v/>
      </c>
      <c r="M215" s="43" t="str">
        <f aca="false">IF(OR(NOT(ISNUMBER($E215)),NOT(ISNUMBER(I215)),NOT(ISNUMBER(K215))),"",IF(K215&gt;I215,($E215-I215)/(K215-I215),""))</f>
        <v/>
      </c>
      <c r="N215" s="42" t="str">
        <f aca="false">IF(Basis="Compa-ratio",L215,M215)</f>
        <v/>
      </c>
      <c r="O215" s="44" t="str">
        <f aca="false">IF(ISNUMBER(N215),IFERROR(MATCH(N215,Matrix!$C$9:$G$9,1),1),"")</f>
        <v/>
      </c>
      <c r="P215" s="45" t="str">
        <f aca="false">IF(COUNTA($A215:$F215)=0,"",IF(Q215="","Y","N"))</f>
        <v/>
      </c>
      <c r="Q215" s="46" t="str">
        <f aca="false">IF(COUNTA($A215:$F215)=0,"",IF($A215="","ID missing",IF(TRIM($F215)="Exclude","Excluded by plan status",IF(AND(TRIM($F215)&lt;&gt;"",TRIM($F215)&lt;&gt;"Include"),"Plan status not valid (use Include or Exclude)",IF(NOT(ISNUMBER($C215)),"Hire date missing or not a date",IF($C215&gt;Cutoff,"Hired after cutoff",IF(NOT(ISNUMBER($E215)),"Salary missing or not a number",IF($E215&lt;=0,"Salary missing or not a number",IF(OR(NOT(ISNUMBER(I215)),NOT(ISNUMBER(J215)),NOT(ISNUMBER(K215))),"Grade not found in Ranges",IF($D215="","Rating missing",IF($D215="NR","Not rated (NR)",IF(NOT(ISNUMBER(MATCH($D215,Matrix!$A$14:$A$18,0))),"Rating not valid (use 1 to 5 or NR)",IF(NOT(ISNUMBER(O215)),"Band not found (check range and limits)","")))))))))))))</f>
        <v/>
      </c>
      <c r="R215" s="47" t="str">
        <f aca="false">IF($P215="Y",INDEX(Matrix!$C$14:$G$18,MATCH($D215,Matrix!$A$14:$A$18,0),$O215),IF($P215="N",0,""))</f>
        <v/>
      </c>
      <c r="S215" s="47" t="str">
        <f aca="false">IF($P215="Y",IF(AND(ISNUMBER($G215),$G215&gt;=0,$G215&lt;=1),$G215,$R215),IF($P215="N",0,""))</f>
        <v/>
      </c>
      <c r="T215" s="48" t="str">
        <f aca="false">IF($P215&lt;&gt;"Y",IF($P215="N",0,""),IF(ProrateMethod="None",1,IF($C215&lt;=PeriodStart,1,IF(ProrateMethod="Daily",MAX(0,MIN(1,(PeriodEnd-$C215+1)/(PeriodEnd-PeriodStart+1))),MAX(0,MIN(1,((YEAR(PeriodEnd)-YEAR($C215))*12+MONTH(PeriodEnd)-MONTH($C215)+1-IF(DAY($C215)&gt;MonthCutDay,1,0))/PeriodMonths))))))</f>
        <v/>
      </c>
      <c r="U215" s="47" t="str">
        <f aca="false">IF($P215="","",$S215*$T215)</f>
        <v/>
      </c>
      <c r="V215" s="49" t="str">
        <f aca="false">IF($P215="","",IF(ISNUMBER($E215),$E215,0)*$R215)</f>
        <v/>
      </c>
      <c r="W215" s="49" t="str">
        <f aca="false">IF($P215="","",IF(ISNUMBER($E215),$E215,0)*$S215)</f>
        <v/>
      </c>
      <c r="X215" s="49" t="str">
        <f aca="false">IF($P215="","",IF(ISNUMBER($E215),$E215,0)*$U215)</f>
        <v/>
      </c>
      <c r="Y215" s="49" t="str">
        <f aca="false">IF($P215="","",IF(AND(CapAtMax="Yes",$P215="Y"),MAX(0,MIN($X215,$K215-$E215)),$X215))</f>
        <v/>
      </c>
      <c r="Z215" s="41" t="str">
        <f aca="false">IF(OR($P215="",NOT(ISNUMBER($E215))),"",$E215+$Y215)</f>
        <v/>
      </c>
      <c r="AA215" s="42" t="str">
        <f aca="false">IF(AND(ISNUMBER(Z215),ISNUMBER(J215)),IF(J215&gt;0,Z215/J215,""),"")</f>
        <v/>
      </c>
      <c r="AB215" s="46" t="str">
        <f aca="false">IF($P215="","",TRIM(IF(AND($P215="Y",ISNUMBER(K215),ISNUMBER(Z215)),IF(Z215&gt;K215,"Above range max. ",""),"")&amp;IF(AND($P215="Y",ISNUMBER($X215),ISNUMBER($Y215)),IF($X215-$Y215&gt;0.005,"Capped at range max. ",""),"")&amp;IF(AND(AND(ISNUMBER($G215),$G215&gt;=0,$G215&lt;=1),$H215=""),"Override needs a reason. ","")&amp;IF(AND(AND(ISNUMBER($G215),$G215&gt;=0,$G215&lt;=1),$P215&lt;&gt;"Y"),"Override ignored. ","")&amp;IF(AND($G215&lt;&gt;"",NOT(AND(ISNUMBER($G215),$G215&gt;=0,$G215&lt;=1))),"Override not valid, ignored. ","")&amp;IF(AND($A215&lt;&gt;"",COUNTIF($A$5:$A$254,$A215)&gt;1),"Duplicate ID. ","")))</f>
        <v/>
      </c>
    </row>
    <row r="216" customFormat="false" ht="15" hidden="false" customHeight="false" outlineLevel="0" collapsed="false">
      <c r="A216" s="18"/>
      <c r="B216" s="38"/>
      <c r="C216" s="39"/>
      <c r="D216" s="38"/>
      <c r="E216" s="19"/>
      <c r="F216" s="38"/>
      <c r="G216" s="40"/>
      <c r="H216" s="18"/>
      <c r="I216" s="41" t="str">
        <f aca="false">IF(COUNTA($A216:$F216)=0,"",IF($B216="","",IFERROR(INDEX(Ranges!$B$5:$B$16,MATCH($B216,Ranges!$A$5:$A$16,0)),"")))</f>
        <v/>
      </c>
      <c r="J216" s="41" t="str">
        <f aca="false">IF(COUNTA($A216:$F216)=0,"",IF($B216="","",IFERROR(INDEX(Ranges!$C$5:$C$16,MATCH($B216,Ranges!$A$5:$A$16,0)),"")))</f>
        <v/>
      </c>
      <c r="K216" s="41" t="str">
        <f aca="false">IF(COUNTA($A216:$F216)=0,"",IF($B216="","",IFERROR(INDEX(Ranges!$D$5:$D$16,MATCH($B216,Ranges!$A$5:$A$16,0)),"")))</f>
        <v/>
      </c>
      <c r="L216" s="42" t="str">
        <f aca="false">IF(OR(NOT(ISNUMBER($E216)),NOT(ISNUMBER(J216))),"",IF(J216&gt;0,$E216/J216,""))</f>
        <v/>
      </c>
      <c r="M216" s="43" t="str">
        <f aca="false">IF(OR(NOT(ISNUMBER($E216)),NOT(ISNUMBER(I216)),NOT(ISNUMBER(K216))),"",IF(K216&gt;I216,($E216-I216)/(K216-I216),""))</f>
        <v/>
      </c>
      <c r="N216" s="42" t="str">
        <f aca="false">IF(Basis="Compa-ratio",L216,M216)</f>
        <v/>
      </c>
      <c r="O216" s="44" t="str">
        <f aca="false">IF(ISNUMBER(N216),IFERROR(MATCH(N216,Matrix!$C$9:$G$9,1),1),"")</f>
        <v/>
      </c>
      <c r="P216" s="45" t="str">
        <f aca="false">IF(COUNTA($A216:$F216)=0,"",IF(Q216="","Y","N"))</f>
        <v/>
      </c>
      <c r="Q216" s="46" t="str">
        <f aca="false">IF(COUNTA($A216:$F216)=0,"",IF($A216="","ID missing",IF(TRIM($F216)="Exclude","Excluded by plan status",IF(AND(TRIM($F216)&lt;&gt;"",TRIM($F216)&lt;&gt;"Include"),"Plan status not valid (use Include or Exclude)",IF(NOT(ISNUMBER($C216)),"Hire date missing or not a date",IF($C216&gt;Cutoff,"Hired after cutoff",IF(NOT(ISNUMBER($E216)),"Salary missing or not a number",IF($E216&lt;=0,"Salary missing or not a number",IF(OR(NOT(ISNUMBER(I216)),NOT(ISNUMBER(J216)),NOT(ISNUMBER(K216))),"Grade not found in Ranges",IF($D216="","Rating missing",IF($D216="NR","Not rated (NR)",IF(NOT(ISNUMBER(MATCH($D216,Matrix!$A$14:$A$18,0))),"Rating not valid (use 1 to 5 or NR)",IF(NOT(ISNUMBER(O216)),"Band not found (check range and limits)","")))))))))))))</f>
        <v/>
      </c>
      <c r="R216" s="47" t="str">
        <f aca="false">IF($P216="Y",INDEX(Matrix!$C$14:$G$18,MATCH($D216,Matrix!$A$14:$A$18,0),$O216),IF($P216="N",0,""))</f>
        <v/>
      </c>
      <c r="S216" s="47" t="str">
        <f aca="false">IF($P216="Y",IF(AND(ISNUMBER($G216),$G216&gt;=0,$G216&lt;=1),$G216,$R216),IF($P216="N",0,""))</f>
        <v/>
      </c>
      <c r="T216" s="48" t="str">
        <f aca="false">IF($P216&lt;&gt;"Y",IF($P216="N",0,""),IF(ProrateMethod="None",1,IF($C216&lt;=PeriodStart,1,IF(ProrateMethod="Daily",MAX(0,MIN(1,(PeriodEnd-$C216+1)/(PeriodEnd-PeriodStart+1))),MAX(0,MIN(1,((YEAR(PeriodEnd)-YEAR($C216))*12+MONTH(PeriodEnd)-MONTH($C216)+1-IF(DAY($C216)&gt;MonthCutDay,1,0))/PeriodMonths))))))</f>
        <v/>
      </c>
      <c r="U216" s="47" t="str">
        <f aca="false">IF($P216="","",$S216*$T216)</f>
        <v/>
      </c>
      <c r="V216" s="49" t="str">
        <f aca="false">IF($P216="","",IF(ISNUMBER($E216),$E216,0)*$R216)</f>
        <v/>
      </c>
      <c r="W216" s="49" t="str">
        <f aca="false">IF($P216="","",IF(ISNUMBER($E216),$E216,0)*$S216)</f>
        <v/>
      </c>
      <c r="X216" s="49" t="str">
        <f aca="false">IF($P216="","",IF(ISNUMBER($E216),$E216,0)*$U216)</f>
        <v/>
      </c>
      <c r="Y216" s="49" t="str">
        <f aca="false">IF($P216="","",IF(AND(CapAtMax="Yes",$P216="Y"),MAX(0,MIN($X216,$K216-$E216)),$X216))</f>
        <v/>
      </c>
      <c r="Z216" s="41" t="str">
        <f aca="false">IF(OR($P216="",NOT(ISNUMBER($E216))),"",$E216+$Y216)</f>
        <v/>
      </c>
      <c r="AA216" s="42" t="str">
        <f aca="false">IF(AND(ISNUMBER(Z216),ISNUMBER(J216)),IF(J216&gt;0,Z216/J216,""),"")</f>
        <v/>
      </c>
      <c r="AB216" s="46" t="str">
        <f aca="false">IF($P216="","",TRIM(IF(AND($P216="Y",ISNUMBER(K216),ISNUMBER(Z216)),IF(Z216&gt;K216,"Above range max. ",""),"")&amp;IF(AND($P216="Y",ISNUMBER($X216),ISNUMBER($Y216)),IF($X216-$Y216&gt;0.005,"Capped at range max. ",""),"")&amp;IF(AND(AND(ISNUMBER($G216),$G216&gt;=0,$G216&lt;=1),$H216=""),"Override needs a reason. ","")&amp;IF(AND(AND(ISNUMBER($G216),$G216&gt;=0,$G216&lt;=1),$P216&lt;&gt;"Y"),"Override ignored. ","")&amp;IF(AND($G216&lt;&gt;"",NOT(AND(ISNUMBER($G216),$G216&gt;=0,$G216&lt;=1))),"Override not valid, ignored. ","")&amp;IF(AND($A216&lt;&gt;"",COUNTIF($A$5:$A$254,$A216)&gt;1),"Duplicate ID. ","")))</f>
        <v/>
      </c>
    </row>
    <row r="217" customFormat="false" ht="15" hidden="false" customHeight="false" outlineLevel="0" collapsed="false">
      <c r="A217" s="18"/>
      <c r="B217" s="38"/>
      <c r="C217" s="39"/>
      <c r="D217" s="38"/>
      <c r="E217" s="19"/>
      <c r="F217" s="38"/>
      <c r="G217" s="40"/>
      <c r="H217" s="18"/>
      <c r="I217" s="41" t="str">
        <f aca="false">IF(COUNTA($A217:$F217)=0,"",IF($B217="","",IFERROR(INDEX(Ranges!$B$5:$B$16,MATCH($B217,Ranges!$A$5:$A$16,0)),"")))</f>
        <v/>
      </c>
      <c r="J217" s="41" t="str">
        <f aca="false">IF(COUNTA($A217:$F217)=0,"",IF($B217="","",IFERROR(INDEX(Ranges!$C$5:$C$16,MATCH($B217,Ranges!$A$5:$A$16,0)),"")))</f>
        <v/>
      </c>
      <c r="K217" s="41" t="str">
        <f aca="false">IF(COUNTA($A217:$F217)=0,"",IF($B217="","",IFERROR(INDEX(Ranges!$D$5:$D$16,MATCH($B217,Ranges!$A$5:$A$16,0)),"")))</f>
        <v/>
      </c>
      <c r="L217" s="42" t="str">
        <f aca="false">IF(OR(NOT(ISNUMBER($E217)),NOT(ISNUMBER(J217))),"",IF(J217&gt;0,$E217/J217,""))</f>
        <v/>
      </c>
      <c r="M217" s="43" t="str">
        <f aca="false">IF(OR(NOT(ISNUMBER($E217)),NOT(ISNUMBER(I217)),NOT(ISNUMBER(K217))),"",IF(K217&gt;I217,($E217-I217)/(K217-I217),""))</f>
        <v/>
      </c>
      <c r="N217" s="42" t="str">
        <f aca="false">IF(Basis="Compa-ratio",L217,M217)</f>
        <v/>
      </c>
      <c r="O217" s="44" t="str">
        <f aca="false">IF(ISNUMBER(N217),IFERROR(MATCH(N217,Matrix!$C$9:$G$9,1),1),"")</f>
        <v/>
      </c>
      <c r="P217" s="45" t="str">
        <f aca="false">IF(COUNTA($A217:$F217)=0,"",IF(Q217="","Y","N"))</f>
        <v/>
      </c>
      <c r="Q217" s="46" t="str">
        <f aca="false">IF(COUNTA($A217:$F217)=0,"",IF($A217="","ID missing",IF(TRIM($F217)="Exclude","Excluded by plan status",IF(AND(TRIM($F217)&lt;&gt;"",TRIM($F217)&lt;&gt;"Include"),"Plan status not valid (use Include or Exclude)",IF(NOT(ISNUMBER($C217)),"Hire date missing or not a date",IF($C217&gt;Cutoff,"Hired after cutoff",IF(NOT(ISNUMBER($E217)),"Salary missing or not a number",IF($E217&lt;=0,"Salary missing or not a number",IF(OR(NOT(ISNUMBER(I217)),NOT(ISNUMBER(J217)),NOT(ISNUMBER(K217))),"Grade not found in Ranges",IF($D217="","Rating missing",IF($D217="NR","Not rated (NR)",IF(NOT(ISNUMBER(MATCH($D217,Matrix!$A$14:$A$18,0))),"Rating not valid (use 1 to 5 or NR)",IF(NOT(ISNUMBER(O217)),"Band not found (check range and limits)","")))))))))))))</f>
        <v/>
      </c>
      <c r="R217" s="47" t="str">
        <f aca="false">IF($P217="Y",INDEX(Matrix!$C$14:$G$18,MATCH($D217,Matrix!$A$14:$A$18,0),$O217),IF($P217="N",0,""))</f>
        <v/>
      </c>
      <c r="S217" s="47" t="str">
        <f aca="false">IF($P217="Y",IF(AND(ISNUMBER($G217),$G217&gt;=0,$G217&lt;=1),$G217,$R217),IF($P217="N",0,""))</f>
        <v/>
      </c>
      <c r="T217" s="48" t="str">
        <f aca="false">IF($P217&lt;&gt;"Y",IF($P217="N",0,""),IF(ProrateMethod="None",1,IF($C217&lt;=PeriodStart,1,IF(ProrateMethod="Daily",MAX(0,MIN(1,(PeriodEnd-$C217+1)/(PeriodEnd-PeriodStart+1))),MAX(0,MIN(1,((YEAR(PeriodEnd)-YEAR($C217))*12+MONTH(PeriodEnd)-MONTH($C217)+1-IF(DAY($C217)&gt;MonthCutDay,1,0))/PeriodMonths))))))</f>
        <v/>
      </c>
      <c r="U217" s="47" t="str">
        <f aca="false">IF($P217="","",$S217*$T217)</f>
        <v/>
      </c>
      <c r="V217" s="49" t="str">
        <f aca="false">IF($P217="","",IF(ISNUMBER($E217),$E217,0)*$R217)</f>
        <v/>
      </c>
      <c r="W217" s="49" t="str">
        <f aca="false">IF($P217="","",IF(ISNUMBER($E217),$E217,0)*$S217)</f>
        <v/>
      </c>
      <c r="X217" s="49" t="str">
        <f aca="false">IF($P217="","",IF(ISNUMBER($E217),$E217,0)*$U217)</f>
        <v/>
      </c>
      <c r="Y217" s="49" t="str">
        <f aca="false">IF($P217="","",IF(AND(CapAtMax="Yes",$P217="Y"),MAX(0,MIN($X217,$K217-$E217)),$X217))</f>
        <v/>
      </c>
      <c r="Z217" s="41" t="str">
        <f aca="false">IF(OR($P217="",NOT(ISNUMBER($E217))),"",$E217+$Y217)</f>
        <v/>
      </c>
      <c r="AA217" s="42" t="str">
        <f aca="false">IF(AND(ISNUMBER(Z217),ISNUMBER(J217)),IF(J217&gt;0,Z217/J217,""),"")</f>
        <v/>
      </c>
      <c r="AB217" s="46" t="str">
        <f aca="false">IF($P217="","",TRIM(IF(AND($P217="Y",ISNUMBER(K217),ISNUMBER(Z217)),IF(Z217&gt;K217,"Above range max. ",""),"")&amp;IF(AND($P217="Y",ISNUMBER($X217),ISNUMBER($Y217)),IF($X217-$Y217&gt;0.005,"Capped at range max. ",""),"")&amp;IF(AND(AND(ISNUMBER($G217),$G217&gt;=0,$G217&lt;=1),$H217=""),"Override needs a reason. ","")&amp;IF(AND(AND(ISNUMBER($G217),$G217&gt;=0,$G217&lt;=1),$P217&lt;&gt;"Y"),"Override ignored. ","")&amp;IF(AND($G217&lt;&gt;"",NOT(AND(ISNUMBER($G217),$G217&gt;=0,$G217&lt;=1))),"Override not valid, ignored. ","")&amp;IF(AND($A217&lt;&gt;"",COUNTIF($A$5:$A$254,$A217)&gt;1),"Duplicate ID. ","")))</f>
        <v/>
      </c>
    </row>
    <row r="218" customFormat="false" ht="15" hidden="false" customHeight="false" outlineLevel="0" collapsed="false">
      <c r="A218" s="18"/>
      <c r="B218" s="38"/>
      <c r="C218" s="39"/>
      <c r="D218" s="38"/>
      <c r="E218" s="19"/>
      <c r="F218" s="38"/>
      <c r="G218" s="40"/>
      <c r="H218" s="18"/>
      <c r="I218" s="41" t="str">
        <f aca="false">IF(COUNTA($A218:$F218)=0,"",IF($B218="","",IFERROR(INDEX(Ranges!$B$5:$B$16,MATCH($B218,Ranges!$A$5:$A$16,0)),"")))</f>
        <v/>
      </c>
      <c r="J218" s="41" t="str">
        <f aca="false">IF(COUNTA($A218:$F218)=0,"",IF($B218="","",IFERROR(INDEX(Ranges!$C$5:$C$16,MATCH($B218,Ranges!$A$5:$A$16,0)),"")))</f>
        <v/>
      </c>
      <c r="K218" s="41" t="str">
        <f aca="false">IF(COUNTA($A218:$F218)=0,"",IF($B218="","",IFERROR(INDEX(Ranges!$D$5:$D$16,MATCH($B218,Ranges!$A$5:$A$16,0)),"")))</f>
        <v/>
      </c>
      <c r="L218" s="42" t="str">
        <f aca="false">IF(OR(NOT(ISNUMBER($E218)),NOT(ISNUMBER(J218))),"",IF(J218&gt;0,$E218/J218,""))</f>
        <v/>
      </c>
      <c r="M218" s="43" t="str">
        <f aca="false">IF(OR(NOT(ISNUMBER($E218)),NOT(ISNUMBER(I218)),NOT(ISNUMBER(K218))),"",IF(K218&gt;I218,($E218-I218)/(K218-I218),""))</f>
        <v/>
      </c>
      <c r="N218" s="42" t="str">
        <f aca="false">IF(Basis="Compa-ratio",L218,M218)</f>
        <v/>
      </c>
      <c r="O218" s="44" t="str">
        <f aca="false">IF(ISNUMBER(N218),IFERROR(MATCH(N218,Matrix!$C$9:$G$9,1),1),"")</f>
        <v/>
      </c>
      <c r="P218" s="45" t="str">
        <f aca="false">IF(COUNTA($A218:$F218)=0,"",IF(Q218="","Y","N"))</f>
        <v/>
      </c>
      <c r="Q218" s="46" t="str">
        <f aca="false">IF(COUNTA($A218:$F218)=0,"",IF($A218="","ID missing",IF(TRIM($F218)="Exclude","Excluded by plan status",IF(AND(TRIM($F218)&lt;&gt;"",TRIM($F218)&lt;&gt;"Include"),"Plan status not valid (use Include or Exclude)",IF(NOT(ISNUMBER($C218)),"Hire date missing or not a date",IF($C218&gt;Cutoff,"Hired after cutoff",IF(NOT(ISNUMBER($E218)),"Salary missing or not a number",IF($E218&lt;=0,"Salary missing or not a number",IF(OR(NOT(ISNUMBER(I218)),NOT(ISNUMBER(J218)),NOT(ISNUMBER(K218))),"Grade not found in Ranges",IF($D218="","Rating missing",IF($D218="NR","Not rated (NR)",IF(NOT(ISNUMBER(MATCH($D218,Matrix!$A$14:$A$18,0))),"Rating not valid (use 1 to 5 or NR)",IF(NOT(ISNUMBER(O218)),"Band not found (check range and limits)","")))))))))))))</f>
        <v/>
      </c>
      <c r="R218" s="47" t="str">
        <f aca="false">IF($P218="Y",INDEX(Matrix!$C$14:$G$18,MATCH($D218,Matrix!$A$14:$A$18,0),$O218),IF($P218="N",0,""))</f>
        <v/>
      </c>
      <c r="S218" s="47" t="str">
        <f aca="false">IF($P218="Y",IF(AND(ISNUMBER($G218),$G218&gt;=0,$G218&lt;=1),$G218,$R218),IF($P218="N",0,""))</f>
        <v/>
      </c>
      <c r="T218" s="48" t="str">
        <f aca="false">IF($P218&lt;&gt;"Y",IF($P218="N",0,""),IF(ProrateMethod="None",1,IF($C218&lt;=PeriodStart,1,IF(ProrateMethod="Daily",MAX(0,MIN(1,(PeriodEnd-$C218+1)/(PeriodEnd-PeriodStart+1))),MAX(0,MIN(1,((YEAR(PeriodEnd)-YEAR($C218))*12+MONTH(PeriodEnd)-MONTH($C218)+1-IF(DAY($C218)&gt;MonthCutDay,1,0))/PeriodMonths))))))</f>
        <v/>
      </c>
      <c r="U218" s="47" t="str">
        <f aca="false">IF($P218="","",$S218*$T218)</f>
        <v/>
      </c>
      <c r="V218" s="49" t="str">
        <f aca="false">IF($P218="","",IF(ISNUMBER($E218),$E218,0)*$R218)</f>
        <v/>
      </c>
      <c r="W218" s="49" t="str">
        <f aca="false">IF($P218="","",IF(ISNUMBER($E218),$E218,0)*$S218)</f>
        <v/>
      </c>
      <c r="X218" s="49" t="str">
        <f aca="false">IF($P218="","",IF(ISNUMBER($E218),$E218,0)*$U218)</f>
        <v/>
      </c>
      <c r="Y218" s="49" t="str">
        <f aca="false">IF($P218="","",IF(AND(CapAtMax="Yes",$P218="Y"),MAX(0,MIN($X218,$K218-$E218)),$X218))</f>
        <v/>
      </c>
      <c r="Z218" s="41" t="str">
        <f aca="false">IF(OR($P218="",NOT(ISNUMBER($E218))),"",$E218+$Y218)</f>
        <v/>
      </c>
      <c r="AA218" s="42" t="str">
        <f aca="false">IF(AND(ISNUMBER(Z218),ISNUMBER(J218)),IF(J218&gt;0,Z218/J218,""),"")</f>
        <v/>
      </c>
      <c r="AB218" s="46" t="str">
        <f aca="false">IF($P218="","",TRIM(IF(AND($P218="Y",ISNUMBER(K218),ISNUMBER(Z218)),IF(Z218&gt;K218,"Above range max. ",""),"")&amp;IF(AND($P218="Y",ISNUMBER($X218),ISNUMBER($Y218)),IF($X218-$Y218&gt;0.005,"Capped at range max. ",""),"")&amp;IF(AND(AND(ISNUMBER($G218),$G218&gt;=0,$G218&lt;=1),$H218=""),"Override needs a reason. ","")&amp;IF(AND(AND(ISNUMBER($G218),$G218&gt;=0,$G218&lt;=1),$P218&lt;&gt;"Y"),"Override ignored. ","")&amp;IF(AND($G218&lt;&gt;"",NOT(AND(ISNUMBER($G218),$G218&gt;=0,$G218&lt;=1))),"Override not valid, ignored. ","")&amp;IF(AND($A218&lt;&gt;"",COUNTIF($A$5:$A$254,$A218)&gt;1),"Duplicate ID. ","")))</f>
        <v/>
      </c>
    </row>
    <row r="219" customFormat="false" ht="15" hidden="false" customHeight="false" outlineLevel="0" collapsed="false">
      <c r="A219" s="18"/>
      <c r="B219" s="38"/>
      <c r="C219" s="39"/>
      <c r="D219" s="38"/>
      <c r="E219" s="19"/>
      <c r="F219" s="38"/>
      <c r="G219" s="40"/>
      <c r="H219" s="18"/>
      <c r="I219" s="41" t="str">
        <f aca="false">IF(COUNTA($A219:$F219)=0,"",IF($B219="","",IFERROR(INDEX(Ranges!$B$5:$B$16,MATCH($B219,Ranges!$A$5:$A$16,0)),"")))</f>
        <v/>
      </c>
      <c r="J219" s="41" t="str">
        <f aca="false">IF(COUNTA($A219:$F219)=0,"",IF($B219="","",IFERROR(INDEX(Ranges!$C$5:$C$16,MATCH($B219,Ranges!$A$5:$A$16,0)),"")))</f>
        <v/>
      </c>
      <c r="K219" s="41" t="str">
        <f aca="false">IF(COUNTA($A219:$F219)=0,"",IF($B219="","",IFERROR(INDEX(Ranges!$D$5:$D$16,MATCH($B219,Ranges!$A$5:$A$16,0)),"")))</f>
        <v/>
      </c>
      <c r="L219" s="42" t="str">
        <f aca="false">IF(OR(NOT(ISNUMBER($E219)),NOT(ISNUMBER(J219))),"",IF(J219&gt;0,$E219/J219,""))</f>
        <v/>
      </c>
      <c r="M219" s="43" t="str">
        <f aca="false">IF(OR(NOT(ISNUMBER($E219)),NOT(ISNUMBER(I219)),NOT(ISNUMBER(K219))),"",IF(K219&gt;I219,($E219-I219)/(K219-I219),""))</f>
        <v/>
      </c>
      <c r="N219" s="42" t="str">
        <f aca="false">IF(Basis="Compa-ratio",L219,M219)</f>
        <v/>
      </c>
      <c r="O219" s="44" t="str">
        <f aca="false">IF(ISNUMBER(N219),IFERROR(MATCH(N219,Matrix!$C$9:$G$9,1),1),"")</f>
        <v/>
      </c>
      <c r="P219" s="45" t="str">
        <f aca="false">IF(COUNTA($A219:$F219)=0,"",IF(Q219="","Y","N"))</f>
        <v/>
      </c>
      <c r="Q219" s="46" t="str">
        <f aca="false">IF(COUNTA($A219:$F219)=0,"",IF($A219="","ID missing",IF(TRIM($F219)="Exclude","Excluded by plan status",IF(AND(TRIM($F219)&lt;&gt;"",TRIM($F219)&lt;&gt;"Include"),"Plan status not valid (use Include or Exclude)",IF(NOT(ISNUMBER($C219)),"Hire date missing or not a date",IF($C219&gt;Cutoff,"Hired after cutoff",IF(NOT(ISNUMBER($E219)),"Salary missing or not a number",IF($E219&lt;=0,"Salary missing or not a number",IF(OR(NOT(ISNUMBER(I219)),NOT(ISNUMBER(J219)),NOT(ISNUMBER(K219))),"Grade not found in Ranges",IF($D219="","Rating missing",IF($D219="NR","Not rated (NR)",IF(NOT(ISNUMBER(MATCH($D219,Matrix!$A$14:$A$18,0))),"Rating not valid (use 1 to 5 or NR)",IF(NOT(ISNUMBER(O219)),"Band not found (check range and limits)","")))))))))))))</f>
        <v/>
      </c>
      <c r="R219" s="47" t="str">
        <f aca="false">IF($P219="Y",INDEX(Matrix!$C$14:$G$18,MATCH($D219,Matrix!$A$14:$A$18,0),$O219),IF($P219="N",0,""))</f>
        <v/>
      </c>
      <c r="S219" s="47" t="str">
        <f aca="false">IF($P219="Y",IF(AND(ISNUMBER($G219),$G219&gt;=0,$G219&lt;=1),$G219,$R219),IF($P219="N",0,""))</f>
        <v/>
      </c>
      <c r="T219" s="48" t="str">
        <f aca="false">IF($P219&lt;&gt;"Y",IF($P219="N",0,""),IF(ProrateMethod="None",1,IF($C219&lt;=PeriodStart,1,IF(ProrateMethod="Daily",MAX(0,MIN(1,(PeriodEnd-$C219+1)/(PeriodEnd-PeriodStart+1))),MAX(0,MIN(1,((YEAR(PeriodEnd)-YEAR($C219))*12+MONTH(PeriodEnd)-MONTH($C219)+1-IF(DAY($C219)&gt;MonthCutDay,1,0))/PeriodMonths))))))</f>
        <v/>
      </c>
      <c r="U219" s="47" t="str">
        <f aca="false">IF($P219="","",$S219*$T219)</f>
        <v/>
      </c>
      <c r="V219" s="49" t="str">
        <f aca="false">IF($P219="","",IF(ISNUMBER($E219),$E219,0)*$R219)</f>
        <v/>
      </c>
      <c r="W219" s="49" t="str">
        <f aca="false">IF($P219="","",IF(ISNUMBER($E219),$E219,0)*$S219)</f>
        <v/>
      </c>
      <c r="X219" s="49" t="str">
        <f aca="false">IF($P219="","",IF(ISNUMBER($E219),$E219,0)*$U219)</f>
        <v/>
      </c>
      <c r="Y219" s="49" t="str">
        <f aca="false">IF($P219="","",IF(AND(CapAtMax="Yes",$P219="Y"),MAX(0,MIN($X219,$K219-$E219)),$X219))</f>
        <v/>
      </c>
      <c r="Z219" s="41" t="str">
        <f aca="false">IF(OR($P219="",NOT(ISNUMBER($E219))),"",$E219+$Y219)</f>
        <v/>
      </c>
      <c r="AA219" s="42" t="str">
        <f aca="false">IF(AND(ISNUMBER(Z219),ISNUMBER(J219)),IF(J219&gt;0,Z219/J219,""),"")</f>
        <v/>
      </c>
      <c r="AB219" s="46" t="str">
        <f aca="false">IF($P219="","",TRIM(IF(AND($P219="Y",ISNUMBER(K219),ISNUMBER(Z219)),IF(Z219&gt;K219,"Above range max. ",""),"")&amp;IF(AND($P219="Y",ISNUMBER($X219),ISNUMBER($Y219)),IF($X219-$Y219&gt;0.005,"Capped at range max. ",""),"")&amp;IF(AND(AND(ISNUMBER($G219),$G219&gt;=0,$G219&lt;=1),$H219=""),"Override needs a reason. ","")&amp;IF(AND(AND(ISNUMBER($G219),$G219&gt;=0,$G219&lt;=1),$P219&lt;&gt;"Y"),"Override ignored. ","")&amp;IF(AND($G219&lt;&gt;"",NOT(AND(ISNUMBER($G219),$G219&gt;=0,$G219&lt;=1))),"Override not valid, ignored. ","")&amp;IF(AND($A219&lt;&gt;"",COUNTIF($A$5:$A$254,$A219)&gt;1),"Duplicate ID. ","")))</f>
        <v/>
      </c>
    </row>
    <row r="220" customFormat="false" ht="15" hidden="false" customHeight="false" outlineLevel="0" collapsed="false">
      <c r="A220" s="18"/>
      <c r="B220" s="38"/>
      <c r="C220" s="39"/>
      <c r="D220" s="38"/>
      <c r="E220" s="19"/>
      <c r="F220" s="38"/>
      <c r="G220" s="40"/>
      <c r="H220" s="18"/>
      <c r="I220" s="41" t="str">
        <f aca="false">IF(COUNTA($A220:$F220)=0,"",IF($B220="","",IFERROR(INDEX(Ranges!$B$5:$B$16,MATCH($B220,Ranges!$A$5:$A$16,0)),"")))</f>
        <v/>
      </c>
      <c r="J220" s="41" t="str">
        <f aca="false">IF(COUNTA($A220:$F220)=0,"",IF($B220="","",IFERROR(INDEX(Ranges!$C$5:$C$16,MATCH($B220,Ranges!$A$5:$A$16,0)),"")))</f>
        <v/>
      </c>
      <c r="K220" s="41" t="str">
        <f aca="false">IF(COUNTA($A220:$F220)=0,"",IF($B220="","",IFERROR(INDEX(Ranges!$D$5:$D$16,MATCH($B220,Ranges!$A$5:$A$16,0)),"")))</f>
        <v/>
      </c>
      <c r="L220" s="42" t="str">
        <f aca="false">IF(OR(NOT(ISNUMBER($E220)),NOT(ISNUMBER(J220))),"",IF(J220&gt;0,$E220/J220,""))</f>
        <v/>
      </c>
      <c r="M220" s="43" t="str">
        <f aca="false">IF(OR(NOT(ISNUMBER($E220)),NOT(ISNUMBER(I220)),NOT(ISNUMBER(K220))),"",IF(K220&gt;I220,($E220-I220)/(K220-I220),""))</f>
        <v/>
      </c>
      <c r="N220" s="42" t="str">
        <f aca="false">IF(Basis="Compa-ratio",L220,M220)</f>
        <v/>
      </c>
      <c r="O220" s="44" t="str">
        <f aca="false">IF(ISNUMBER(N220),IFERROR(MATCH(N220,Matrix!$C$9:$G$9,1),1),"")</f>
        <v/>
      </c>
      <c r="P220" s="45" t="str">
        <f aca="false">IF(COUNTA($A220:$F220)=0,"",IF(Q220="","Y","N"))</f>
        <v/>
      </c>
      <c r="Q220" s="46" t="str">
        <f aca="false">IF(COUNTA($A220:$F220)=0,"",IF($A220="","ID missing",IF(TRIM($F220)="Exclude","Excluded by plan status",IF(AND(TRIM($F220)&lt;&gt;"",TRIM($F220)&lt;&gt;"Include"),"Plan status not valid (use Include or Exclude)",IF(NOT(ISNUMBER($C220)),"Hire date missing or not a date",IF($C220&gt;Cutoff,"Hired after cutoff",IF(NOT(ISNUMBER($E220)),"Salary missing or not a number",IF($E220&lt;=0,"Salary missing or not a number",IF(OR(NOT(ISNUMBER(I220)),NOT(ISNUMBER(J220)),NOT(ISNUMBER(K220))),"Grade not found in Ranges",IF($D220="","Rating missing",IF($D220="NR","Not rated (NR)",IF(NOT(ISNUMBER(MATCH($D220,Matrix!$A$14:$A$18,0))),"Rating not valid (use 1 to 5 or NR)",IF(NOT(ISNUMBER(O220)),"Band not found (check range and limits)","")))))))))))))</f>
        <v/>
      </c>
      <c r="R220" s="47" t="str">
        <f aca="false">IF($P220="Y",INDEX(Matrix!$C$14:$G$18,MATCH($D220,Matrix!$A$14:$A$18,0),$O220),IF($P220="N",0,""))</f>
        <v/>
      </c>
      <c r="S220" s="47" t="str">
        <f aca="false">IF($P220="Y",IF(AND(ISNUMBER($G220),$G220&gt;=0,$G220&lt;=1),$G220,$R220),IF($P220="N",0,""))</f>
        <v/>
      </c>
      <c r="T220" s="48" t="str">
        <f aca="false">IF($P220&lt;&gt;"Y",IF($P220="N",0,""),IF(ProrateMethod="None",1,IF($C220&lt;=PeriodStart,1,IF(ProrateMethod="Daily",MAX(0,MIN(1,(PeriodEnd-$C220+1)/(PeriodEnd-PeriodStart+1))),MAX(0,MIN(1,((YEAR(PeriodEnd)-YEAR($C220))*12+MONTH(PeriodEnd)-MONTH($C220)+1-IF(DAY($C220)&gt;MonthCutDay,1,0))/PeriodMonths))))))</f>
        <v/>
      </c>
      <c r="U220" s="47" t="str">
        <f aca="false">IF($P220="","",$S220*$T220)</f>
        <v/>
      </c>
      <c r="V220" s="49" t="str">
        <f aca="false">IF($P220="","",IF(ISNUMBER($E220),$E220,0)*$R220)</f>
        <v/>
      </c>
      <c r="W220" s="49" t="str">
        <f aca="false">IF($P220="","",IF(ISNUMBER($E220),$E220,0)*$S220)</f>
        <v/>
      </c>
      <c r="X220" s="49" t="str">
        <f aca="false">IF($P220="","",IF(ISNUMBER($E220),$E220,0)*$U220)</f>
        <v/>
      </c>
      <c r="Y220" s="49" t="str">
        <f aca="false">IF($P220="","",IF(AND(CapAtMax="Yes",$P220="Y"),MAX(0,MIN($X220,$K220-$E220)),$X220))</f>
        <v/>
      </c>
      <c r="Z220" s="41" t="str">
        <f aca="false">IF(OR($P220="",NOT(ISNUMBER($E220))),"",$E220+$Y220)</f>
        <v/>
      </c>
      <c r="AA220" s="42" t="str">
        <f aca="false">IF(AND(ISNUMBER(Z220),ISNUMBER(J220)),IF(J220&gt;0,Z220/J220,""),"")</f>
        <v/>
      </c>
      <c r="AB220" s="46" t="str">
        <f aca="false">IF($P220="","",TRIM(IF(AND($P220="Y",ISNUMBER(K220),ISNUMBER(Z220)),IF(Z220&gt;K220,"Above range max. ",""),"")&amp;IF(AND($P220="Y",ISNUMBER($X220),ISNUMBER($Y220)),IF($X220-$Y220&gt;0.005,"Capped at range max. ",""),"")&amp;IF(AND(AND(ISNUMBER($G220),$G220&gt;=0,$G220&lt;=1),$H220=""),"Override needs a reason. ","")&amp;IF(AND(AND(ISNUMBER($G220),$G220&gt;=0,$G220&lt;=1),$P220&lt;&gt;"Y"),"Override ignored. ","")&amp;IF(AND($G220&lt;&gt;"",NOT(AND(ISNUMBER($G220),$G220&gt;=0,$G220&lt;=1))),"Override not valid, ignored. ","")&amp;IF(AND($A220&lt;&gt;"",COUNTIF($A$5:$A$254,$A220)&gt;1),"Duplicate ID. ","")))</f>
        <v/>
      </c>
    </row>
    <row r="221" customFormat="false" ht="15" hidden="false" customHeight="false" outlineLevel="0" collapsed="false">
      <c r="A221" s="18"/>
      <c r="B221" s="38"/>
      <c r="C221" s="39"/>
      <c r="D221" s="38"/>
      <c r="E221" s="19"/>
      <c r="F221" s="38"/>
      <c r="G221" s="40"/>
      <c r="H221" s="18"/>
      <c r="I221" s="41" t="str">
        <f aca="false">IF(COUNTA($A221:$F221)=0,"",IF($B221="","",IFERROR(INDEX(Ranges!$B$5:$B$16,MATCH($B221,Ranges!$A$5:$A$16,0)),"")))</f>
        <v/>
      </c>
      <c r="J221" s="41" t="str">
        <f aca="false">IF(COUNTA($A221:$F221)=0,"",IF($B221="","",IFERROR(INDEX(Ranges!$C$5:$C$16,MATCH($B221,Ranges!$A$5:$A$16,0)),"")))</f>
        <v/>
      </c>
      <c r="K221" s="41" t="str">
        <f aca="false">IF(COUNTA($A221:$F221)=0,"",IF($B221="","",IFERROR(INDEX(Ranges!$D$5:$D$16,MATCH($B221,Ranges!$A$5:$A$16,0)),"")))</f>
        <v/>
      </c>
      <c r="L221" s="42" t="str">
        <f aca="false">IF(OR(NOT(ISNUMBER($E221)),NOT(ISNUMBER(J221))),"",IF(J221&gt;0,$E221/J221,""))</f>
        <v/>
      </c>
      <c r="M221" s="43" t="str">
        <f aca="false">IF(OR(NOT(ISNUMBER($E221)),NOT(ISNUMBER(I221)),NOT(ISNUMBER(K221))),"",IF(K221&gt;I221,($E221-I221)/(K221-I221),""))</f>
        <v/>
      </c>
      <c r="N221" s="42" t="str">
        <f aca="false">IF(Basis="Compa-ratio",L221,M221)</f>
        <v/>
      </c>
      <c r="O221" s="44" t="str">
        <f aca="false">IF(ISNUMBER(N221),IFERROR(MATCH(N221,Matrix!$C$9:$G$9,1),1),"")</f>
        <v/>
      </c>
      <c r="P221" s="45" t="str">
        <f aca="false">IF(COUNTA($A221:$F221)=0,"",IF(Q221="","Y","N"))</f>
        <v/>
      </c>
      <c r="Q221" s="46" t="str">
        <f aca="false">IF(COUNTA($A221:$F221)=0,"",IF($A221="","ID missing",IF(TRIM($F221)="Exclude","Excluded by plan status",IF(AND(TRIM($F221)&lt;&gt;"",TRIM($F221)&lt;&gt;"Include"),"Plan status not valid (use Include or Exclude)",IF(NOT(ISNUMBER($C221)),"Hire date missing or not a date",IF($C221&gt;Cutoff,"Hired after cutoff",IF(NOT(ISNUMBER($E221)),"Salary missing or not a number",IF($E221&lt;=0,"Salary missing or not a number",IF(OR(NOT(ISNUMBER(I221)),NOT(ISNUMBER(J221)),NOT(ISNUMBER(K221))),"Grade not found in Ranges",IF($D221="","Rating missing",IF($D221="NR","Not rated (NR)",IF(NOT(ISNUMBER(MATCH($D221,Matrix!$A$14:$A$18,0))),"Rating not valid (use 1 to 5 or NR)",IF(NOT(ISNUMBER(O221)),"Band not found (check range and limits)","")))))))))))))</f>
        <v/>
      </c>
      <c r="R221" s="47" t="str">
        <f aca="false">IF($P221="Y",INDEX(Matrix!$C$14:$G$18,MATCH($D221,Matrix!$A$14:$A$18,0),$O221),IF($P221="N",0,""))</f>
        <v/>
      </c>
      <c r="S221" s="47" t="str">
        <f aca="false">IF($P221="Y",IF(AND(ISNUMBER($G221),$G221&gt;=0,$G221&lt;=1),$G221,$R221),IF($P221="N",0,""))</f>
        <v/>
      </c>
      <c r="T221" s="48" t="str">
        <f aca="false">IF($P221&lt;&gt;"Y",IF($P221="N",0,""),IF(ProrateMethod="None",1,IF($C221&lt;=PeriodStart,1,IF(ProrateMethod="Daily",MAX(0,MIN(1,(PeriodEnd-$C221+1)/(PeriodEnd-PeriodStart+1))),MAX(0,MIN(1,((YEAR(PeriodEnd)-YEAR($C221))*12+MONTH(PeriodEnd)-MONTH($C221)+1-IF(DAY($C221)&gt;MonthCutDay,1,0))/PeriodMonths))))))</f>
        <v/>
      </c>
      <c r="U221" s="47" t="str">
        <f aca="false">IF($P221="","",$S221*$T221)</f>
        <v/>
      </c>
      <c r="V221" s="49" t="str">
        <f aca="false">IF($P221="","",IF(ISNUMBER($E221),$E221,0)*$R221)</f>
        <v/>
      </c>
      <c r="W221" s="49" t="str">
        <f aca="false">IF($P221="","",IF(ISNUMBER($E221),$E221,0)*$S221)</f>
        <v/>
      </c>
      <c r="X221" s="49" t="str">
        <f aca="false">IF($P221="","",IF(ISNUMBER($E221),$E221,0)*$U221)</f>
        <v/>
      </c>
      <c r="Y221" s="49" t="str">
        <f aca="false">IF($P221="","",IF(AND(CapAtMax="Yes",$P221="Y"),MAX(0,MIN($X221,$K221-$E221)),$X221))</f>
        <v/>
      </c>
      <c r="Z221" s="41" t="str">
        <f aca="false">IF(OR($P221="",NOT(ISNUMBER($E221))),"",$E221+$Y221)</f>
        <v/>
      </c>
      <c r="AA221" s="42" t="str">
        <f aca="false">IF(AND(ISNUMBER(Z221),ISNUMBER(J221)),IF(J221&gt;0,Z221/J221,""),"")</f>
        <v/>
      </c>
      <c r="AB221" s="46" t="str">
        <f aca="false">IF($P221="","",TRIM(IF(AND($P221="Y",ISNUMBER(K221),ISNUMBER(Z221)),IF(Z221&gt;K221,"Above range max. ",""),"")&amp;IF(AND($P221="Y",ISNUMBER($X221),ISNUMBER($Y221)),IF($X221-$Y221&gt;0.005,"Capped at range max. ",""),"")&amp;IF(AND(AND(ISNUMBER($G221),$G221&gt;=0,$G221&lt;=1),$H221=""),"Override needs a reason. ","")&amp;IF(AND(AND(ISNUMBER($G221),$G221&gt;=0,$G221&lt;=1),$P221&lt;&gt;"Y"),"Override ignored. ","")&amp;IF(AND($G221&lt;&gt;"",NOT(AND(ISNUMBER($G221),$G221&gt;=0,$G221&lt;=1))),"Override not valid, ignored. ","")&amp;IF(AND($A221&lt;&gt;"",COUNTIF($A$5:$A$254,$A221)&gt;1),"Duplicate ID. ","")))</f>
        <v/>
      </c>
    </row>
    <row r="222" customFormat="false" ht="15" hidden="false" customHeight="false" outlineLevel="0" collapsed="false">
      <c r="A222" s="18"/>
      <c r="B222" s="38"/>
      <c r="C222" s="39"/>
      <c r="D222" s="38"/>
      <c r="E222" s="19"/>
      <c r="F222" s="38"/>
      <c r="G222" s="40"/>
      <c r="H222" s="18"/>
      <c r="I222" s="41" t="str">
        <f aca="false">IF(COUNTA($A222:$F222)=0,"",IF($B222="","",IFERROR(INDEX(Ranges!$B$5:$B$16,MATCH($B222,Ranges!$A$5:$A$16,0)),"")))</f>
        <v/>
      </c>
      <c r="J222" s="41" t="str">
        <f aca="false">IF(COUNTA($A222:$F222)=0,"",IF($B222="","",IFERROR(INDEX(Ranges!$C$5:$C$16,MATCH($B222,Ranges!$A$5:$A$16,0)),"")))</f>
        <v/>
      </c>
      <c r="K222" s="41" t="str">
        <f aca="false">IF(COUNTA($A222:$F222)=0,"",IF($B222="","",IFERROR(INDEX(Ranges!$D$5:$D$16,MATCH($B222,Ranges!$A$5:$A$16,0)),"")))</f>
        <v/>
      </c>
      <c r="L222" s="42" t="str">
        <f aca="false">IF(OR(NOT(ISNUMBER($E222)),NOT(ISNUMBER(J222))),"",IF(J222&gt;0,$E222/J222,""))</f>
        <v/>
      </c>
      <c r="M222" s="43" t="str">
        <f aca="false">IF(OR(NOT(ISNUMBER($E222)),NOT(ISNUMBER(I222)),NOT(ISNUMBER(K222))),"",IF(K222&gt;I222,($E222-I222)/(K222-I222),""))</f>
        <v/>
      </c>
      <c r="N222" s="42" t="str">
        <f aca="false">IF(Basis="Compa-ratio",L222,M222)</f>
        <v/>
      </c>
      <c r="O222" s="44" t="str">
        <f aca="false">IF(ISNUMBER(N222),IFERROR(MATCH(N222,Matrix!$C$9:$G$9,1),1),"")</f>
        <v/>
      </c>
      <c r="P222" s="45" t="str">
        <f aca="false">IF(COUNTA($A222:$F222)=0,"",IF(Q222="","Y","N"))</f>
        <v/>
      </c>
      <c r="Q222" s="46" t="str">
        <f aca="false">IF(COUNTA($A222:$F222)=0,"",IF($A222="","ID missing",IF(TRIM($F222)="Exclude","Excluded by plan status",IF(AND(TRIM($F222)&lt;&gt;"",TRIM($F222)&lt;&gt;"Include"),"Plan status not valid (use Include or Exclude)",IF(NOT(ISNUMBER($C222)),"Hire date missing or not a date",IF($C222&gt;Cutoff,"Hired after cutoff",IF(NOT(ISNUMBER($E222)),"Salary missing or not a number",IF($E222&lt;=0,"Salary missing or not a number",IF(OR(NOT(ISNUMBER(I222)),NOT(ISNUMBER(J222)),NOT(ISNUMBER(K222))),"Grade not found in Ranges",IF($D222="","Rating missing",IF($D222="NR","Not rated (NR)",IF(NOT(ISNUMBER(MATCH($D222,Matrix!$A$14:$A$18,0))),"Rating not valid (use 1 to 5 or NR)",IF(NOT(ISNUMBER(O222)),"Band not found (check range and limits)","")))))))))))))</f>
        <v/>
      </c>
      <c r="R222" s="47" t="str">
        <f aca="false">IF($P222="Y",INDEX(Matrix!$C$14:$G$18,MATCH($D222,Matrix!$A$14:$A$18,0),$O222),IF($P222="N",0,""))</f>
        <v/>
      </c>
      <c r="S222" s="47" t="str">
        <f aca="false">IF($P222="Y",IF(AND(ISNUMBER($G222),$G222&gt;=0,$G222&lt;=1),$G222,$R222),IF($P222="N",0,""))</f>
        <v/>
      </c>
      <c r="T222" s="48" t="str">
        <f aca="false">IF($P222&lt;&gt;"Y",IF($P222="N",0,""),IF(ProrateMethod="None",1,IF($C222&lt;=PeriodStart,1,IF(ProrateMethod="Daily",MAX(0,MIN(1,(PeriodEnd-$C222+1)/(PeriodEnd-PeriodStart+1))),MAX(0,MIN(1,((YEAR(PeriodEnd)-YEAR($C222))*12+MONTH(PeriodEnd)-MONTH($C222)+1-IF(DAY($C222)&gt;MonthCutDay,1,0))/PeriodMonths))))))</f>
        <v/>
      </c>
      <c r="U222" s="47" t="str">
        <f aca="false">IF($P222="","",$S222*$T222)</f>
        <v/>
      </c>
      <c r="V222" s="49" t="str">
        <f aca="false">IF($P222="","",IF(ISNUMBER($E222),$E222,0)*$R222)</f>
        <v/>
      </c>
      <c r="W222" s="49" t="str">
        <f aca="false">IF($P222="","",IF(ISNUMBER($E222),$E222,0)*$S222)</f>
        <v/>
      </c>
      <c r="X222" s="49" t="str">
        <f aca="false">IF($P222="","",IF(ISNUMBER($E222),$E222,0)*$U222)</f>
        <v/>
      </c>
      <c r="Y222" s="49" t="str">
        <f aca="false">IF($P222="","",IF(AND(CapAtMax="Yes",$P222="Y"),MAX(0,MIN($X222,$K222-$E222)),$X222))</f>
        <v/>
      </c>
      <c r="Z222" s="41" t="str">
        <f aca="false">IF(OR($P222="",NOT(ISNUMBER($E222))),"",$E222+$Y222)</f>
        <v/>
      </c>
      <c r="AA222" s="42" t="str">
        <f aca="false">IF(AND(ISNUMBER(Z222),ISNUMBER(J222)),IF(J222&gt;0,Z222/J222,""),"")</f>
        <v/>
      </c>
      <c r="AB222" s="46" t="str">
        <f aca="false">IF($P222="","",TRIM(IF(AND($P222="Y",ISNUMBER(K222),ISNUMBER(Z222)),IF(Z222&gt;K222,"Above range max. ",""),"")&amp;IF(AND($P222="Y",ISNUMBER($X222),ISNUMBER($Y222)),IF($X222-$Y222&gt;0.005,"Capped at range max. ",""),"")&amp;IF(AND(AND(ISNUMBER($G222),$G222&gt;=0,$G222&lt;=1),$H222=""),"Override needs a reason. ","")&amp;IF(AND(AND(ISNUMBER($G222),$G222&gt;=0,$G222&lt;=1),$P222&lt;&gt;"Y"),"Override ignored. ","")&amp;IF(AND($G222&lt;&gt;"",NOT(AND(ISNUMBER($G222),$G222&gt;=0,$G222&lt;=1))),"Override not valid, ignored. ","")&amp;IF(AND($A222&lt;&gt;"",COUNTIF($A$5:$A$254,$A222)&gt;1),"Duplicate ID. ","")))</f>
        <v/>
      </c>
    </row>
    <row r="223" customFormat="false" ht="15" hidden="false" customHeight="false" outlineLevel="0" collapsed="false">
      <c r="A223" s="18"/>
      <c r="B223" s="38"/>
      <c r="C223" s="39"/>
      <c r="D223" s="38"/>
      <c r="E223" s="19"/>
      <c r="F223" s="38"/>
      <c r="G223" s="40"/>
      <c r="H223" s="18"/>
      <c r="I223" s="41" t="str">
        <f aca="false">IF(COUNTA($A223:$F223)=0,"",IF($B223="","",IFERROR(INDEX(Ranges!$B$5:$B$16,MATCH($B223,Ranges!$A$5:$A$16,0)),"")))</f>
        <v/>
      </c>
      <c r="J223" s="41" t="str">
        <f aca="false">IF(COUNTA($A223:$F223)=0,"",IF($B223="","",IFERROR(INDEX(Ranges!$C$5:$C$16,MATCH($B223,Ranges!$A$5:$A$16,0)),"")))</f>
        <v/>
      </c>
      <c r="K223" s="41" t="str">
        <f aca="false">IF(COUNTA($A223:$F223)=0,"",IF($B223="","",IFERROR(INDEX(Ranges!$D$5:$D$16,MATCH($B223,Ranges!$A$5:$A$16,0)),"")))</f>
        <v/>
      </c>
      <c r="L223" s="42" t="str">
        <f aca="false">IF(OR(NOT(ISNUMBER($E223)),NOT(ISNUMBER(J223))),"",IF(J223&gt;0,$E223/J223,""))</f>
        <v/>
      </c>
      <c r="M223" s="43" t="str">
        <f aca="false">IF(OR(NOT(ISNUMBER($E223)),NOT(ISNUMBER(I223)),NOT(ISNUMBER(K223))),"",IF(K223&gt;I223,($E223-I223)/(K223-I223),""))</f>
        <v/>
      </c>
      <c r="N223" s="42" t="str">
        <f aca="false">IF(Basis="Compa-ratio",L223,M223)</f>
        <v/>
      </c>
      <c r="O223" s="44" t="str">
        <f aca="false">IF(ISNUMBER(N223),IFERROR(MATCH(N223,Matrix!$C$9:$G$9,1),1),"")</f>
        <v/>
      </c>
      <c r="P223" s="45" t="str">
        <f aca="false">IF(COUNTA($A223:$F223)=0,"",IF(Q223="","Y","N"))</f>
        <v/>
      </c>
      <c r="Q223" s="46" t="str">
        <f aca="false">IF(COUNTA($A223:$F223)=0,"",IF($A223="","ID missing",IF(TRIM($F223)="Exclude","Excluded by plan status",IF(AND(TRIM($F223)&lt;&gt;"",TRIM($F223)&lt;&gt;"Include"),"Plan status not valid (use Include or Exclude)",IF(NOT(ISNUMBER($C223)),"Hire date missing or not a date",IF($C223&gt;Cutoff,"Hired after cutoff",IF(NOT(ISNUMBER($E223)),"Salary missing or not a number",IF($E223&lt;=0,"Salary missing or not a number",IF(OR(NOT(ISNUMBER(I223)),NOT(ISNUMBER(J223)),NOT(ISNUMBER(K223))),"Grade not found in Ranges",IF($D223="","Rating missing",IF($D223="NR","Not rated (NR)",IF(NOT(ISNUMBER(MATCH($D223,Matrix!$A$14:$A$18,0))),"Rating not valid (use 1 to 5 or NR)",IF(NOT(ISNUMBER(O223)),"Band not found (check range and limits)","")))))))))))))</f>
        <v/>
      </c>
      <c r="R223" s="47" t="str">
        <f aca="false">IF($P223="Y",INDEX(Matrix!$C$14:$G$18,MATCH($D223,Matrix!$A$14:$A$18,0),$O223),IF($P223="N",0,""))</f>
        <v/>
      </c>
      <c r="S223" s="47" t="str">
        <f aca="false">IF($P223="Y",IF(AND(ISNUMBER($G223),$G223&gt;=0,$G223&lt;=1),$G223,$R223),IF($P223="N",0,""))</f>
        <v/>
      </c>
      <c r="T223" s="48" t="str">
        <f aca="false">IF($P223&lt;&gt;"Y",IF($P223="N",0,""),IF(ProrateMethod="None",1,IF($C223&lt;=PeriodStart,1,IF(ProrateMethod="Daily",MAX(0,MIN(1,(PeriodEnd-$C223+1)/(PeriodEnd-PeriodStart+1))),MAX(0,MIN(1,((YEAR(PeriodEnd)-YEAR($C223))*12+MONTH(PeriodEnd)-MONTH($C223)+1-IF(DAY($C223)&gt;MonthCutDay,1,0))/PeriodMonths))))))</f>
        <v/>
      </c>
      <c r="U223" s="47" t="str">
        <f aca="false">IF($P223="","",$S223*$T223)</f>
        <v/>
      </c>
      <c r="V223" s="49" t="str">
        <f aca="false">IF($P223="","",IF(ISNUMBER($E223),$E223,0)*$R223)</f>
        <v/>
      </c>
      <c r="W223" s="49" t="str">
        <f aca="false">IF($P223="","",IF(ISNUMBER($E223),$E223,0)*$S223)</f>
        <v/>
      </c>
      <c r="X223" s="49" t="str">
        <f aca="false">IF($P223="","",IF(ISNUMBER($E223),$E223,0)*$U223)</f>
        <v/>
      </c>
      <c r="Y223" s="49" t="str">
        <f aca="false">IF($P223="","",IF(AND(CapAtMax="Yes",$P223="Y"),MAX(0,MIN($X223,$K223-$E223)),$X223))</f>
        <v/>
      </c>
      <c r="Z223" s="41" t="str">
        <f aca="false">IF(OR($P223="",NOT(ISNUMBER($E223))),"",$E223+$Y223)</f>
        <v/>
      </c>
      <c r="AA223" s="42" t="str">
        <f aca="false">IF(AND(ISNUMBER(Z223),ISNUMBER(J223)),IF(J223&gt;0,Z223/J223,""),"")</f>
        <v/>
      </c>
      <c r="AB223" s="46" t="str">
        <f aca="false">IF($P223="","",TRIM(IF(AND($P223="Y",ISNUMBER(K223),ISNUMBER(Z223)),IF(Z223&gt;K223,"Above range max. ",""),"")&amp;IF(AND($P223="Y",ISNUMBER($X223),ISNUMBER($Y223)),IF($X223-$Y223&gt;0.005,"Capped at range max. ",""),"")&amp;IF(AND(AND(ISNUMBER($G223),$G223&gt;=0,$G223&lt;=1),$H223=""),"Override needs a reason. ","")&amp;IF(AND(AND(ISNUMBER($G223),$G223&gt;=0,$G223&lt;=1),$P223&lt;&gt;"Y"),"Override ignored. ","")&amp;IF(AND($G223&lt;&gt;"",NOT(AND(ISNUMBER($G223),$G223&gt;=0,$G223&lt;=1))),"Override not valid, ignored. ","")&amp;IF(AND($A223&lt;&gt;"",COUNTIF($A$5:$A$254,$A223)&gt;1),"Duplicate ID. ","")))</f>
        <v/>
      </c>
    </row>
    <row r="224" customFormat="false" ht="15" hidden="false" customHeight="false" outlineLevel="0" collapsed="false">
      <c r="A224" s="18"/>
      <c r="B224" s="38"/>
      <c r="C224" s="39"/>
      <c r="D224" s="38"/>
      <c r="E224" s="19"/>
      <c r="F224" s="38"/>
      <c r="G224" s="40"/>
      <c r="H224" s="18"/>
      <c r="I224" s="41" t="str">
        <f aca="false">IF(COUNTA($A224:$F224)=0,"",IF($B224="","",IFERROR(INDEX(Ranges!$B$5:$B$16,MATCH($B224,Ranges!$A$5:$A$16,0)),"")))</f>
        <v/>
      </c>
      <c r="J224" s="41" t="str">
        <f aca="false">IF(COUNTA($A224:$F224)=0,"",IF($B224="","",IFERROR(INDEX(Ranges!$C$5:$C$16,MATCH($B224,Ranges!$A$5:$A$16,0)),"")))</f>
        <v/>
      </c>
      <c r="K224" s="41" t="str">
        <f aca="false">IF(COUNTA($A224:$F224)=0,"",IF($B224="","",IFERROR(INDEX(Ranges!$D$5:$D$16,MATCH($B224,Ranges!$A$5:$A$16,0)),"")))</f>
        <v/>
      </c>
      <c r="L224" s="42" t="str">
        <f aca="false">IF(OR(NOT(ISNUMBER($E224)),NOT(ISNUMBER(J224))),"",IF(J224&gt;0,$E224/J224,""))</f>
        <v/>
      </c>
      <c r="M224" s="43" t="str">
        <f aca="false">IF(OR(NOT(ISNUMBER($E224)),NOT(ISNUMBER(I224)),NOT(ISNUMBER(K224))),"",IF(K224&gt;I224,($E224-I224)/(K224-I224),""))</f>
        <v/>
      </c>
      <c r="N224" s="42" t="str">
        <f aca="false">IF(Basis="Compa-ratio",L224,M224)</f>
        <v/>
      </c>
      <c r="O224" s="44" t="str">
        <f aca="false">IF(ISNUMBER(N224),IFERROR(MATCH(N224,Matrix!$C$9:$G$9,1),1),"")</f>
        <v/>
      </c>
      <c r="P224" s="45" t="str">
        <f aca="false">IF(COUNTA($A224:$F224)=0,"",IF(Q224="","Y","N"))</f>
        <v/>
      </c>
      <c r="Q224" s="46" t="str">
        <f aca="false">IF(COUNTA($A224:$F224)=0,"",IF($A224="","ID missing",IF(TRIM($F224)="Exclude","Excluded by plan status",IF(AND(TRIM($F224)&lt;&gt;"",TRIM($F224)&lt;&gt;"Include"),"Plan status not valid (use Include or Exclude)",IF(NOT(ISNUMBER($C224)),"Hire date missing or not a date",IF($C224&gt;Cutoff,"Hired after cutoff",IF(NOT(ISNUMBER($E224)),"Salary missing or not a number",IF($E224&lt;=0,"Salary missing or not a number",IF(OR(NOT(ISNUMBER(I224)),NOT(ISNUMBER(J224)),NOT(ISNUMBER(K224))),"Grade not found in Ranges",IF($D224="","Rating missing",IF($D224="NR","Not rated (NR)",IF(NOT(ISNUMBER(MATCH($D224,Matrix!$A$14:$A$18,0))),"Rating not valid (use 1 to 5 or NR)",IF(NOT(ISNUMBER(O224)),"Band not found (check range and limits)","")))))))))))))</f>
        <v/>
      </c>
      <c r="R224" s="47" t="str">
        <f aca="false">IF($P224="Y",INDEX(Matrix!$C$14:$G$18,MATCH($D224,Matrix!$A$14:$A$18,0),$O224),IF($P224="N",0,""))</f>
        <v/>
      </c>
      <c r="S224" s="47" t="str">
        <f aca="false">IF($P224="Y",IF(AND(ISNUMBER($G224),$G224&gt;=0,$G224&lt;=1),$G224,$R224),IF($P224="N",0,""))</f>
        <v/>
      </c>
      <c r="T224" s="48" t="str">
        <f aca="false">IF($P224&lt;&gt;"Y",IF($P224="N",0,""),IF(ProrateMethod="None",1,IF($C224&lt;=PeriodStart,1,IF(ProrateMethod="Daily",MAX(0,MIN(1,(PeriodEnd-$C224+1)/(PeriodEnd-PeriodStart+1))),MAX(0,MIN(1,((YEAR(PeriodEnd)-YEAR($C224))*12+MONTH(PeriodEnd)-MONTH($C224)+1-IF(DAY($C224)&gt;MonthCutDay,1,0))/PeriodMonths))))))</f>
        <v/>
      </c>
      <c r="U224" s="47" t="str">
        <f aca="false">IF($P224="","",$S224*$T224)</f>
        <v/>
      </c>
      <c r="V224" s="49" t="str">
        <f aca="false">IF($P224="","",IF(ISNUMBER($E224),$E224,0)*$R224)</f>
        <v/>
      </c>
      <c r="W224" s="49" t="str">
        <f aca="false">IF($P224="","",IF(ISNUMBER($E224),$E224,0)*$S224)</f>
        <v/>
      </c>
      <c r="X224" s="49" t="str">
        <f aca="false">IF($P224="","",IF(ISNUMBER($E224),$E224,0)*$U224)</f>
        <v/>
      </c>
      <c r="Y224" s="49" t="str">
        <f aca="false">IF($P224="","",IF(AND(CapAtMax="Yes",$P224="Y"),MAX(0,MIN($X224,$K224-$E224)),$X224))</f>
        <v/>
      </c>
      <c r="Z224" s="41" t="str">
        <f aca="false">IF(OR($P224="",NOT(ISNUMBER($E224))),"",$E224+$Y224)</f>
        <v/>
      </c>
      <c r="AA224" s="42" t="str">
        <f aca="false">IF(AND(ISNUMBER(Z224),ISNUMBER(J224)),IF(J224&gt;0,Z224/J224,""),"")</f>
        <v/>
      </c>
      <c r="AB224" s="46" t="str">
        <f aca="false">IF($P224="","",TRIM(IF(AND($P224="Y",ISNUMBER(K224),ISNUMBER(Z224)),IF(Z224&gt;K224,"Above range max. ",""),"")&amp;IF(AND($P224="Y",ISNUMBER($X224),ISNUMBER($Y224)),IF($X224-$Y224&gt;0.005,"Capped at range max. ",""),"")&amp;IF(AND(AND(ISNUMBER($G224),$G224&gt;=0,$G224&lt;=1),$H224=""),"Override needs a reason. ","")&amp;IF(AND(AND(ISNUMBER($G224),$G224&gt;=0,$G224&lt;=1),$P224&lt;&gt;"Y"),"Override ignored. ","")&amp;IF(AND($G224&lt;&gt;"",NOT(AND(ISNUMBER($G224),$G224&gt;=0,$G224&lt;=1))),"Override not valid, ignored. ","")&amp;IF(AND($A224&lt;&gt;"",COUNTIF($A$5:$A$254,$A224)&gt;1),"Duplicate ID. ","")))</f>
        <v/>
      </c>
    </row>
    <row r="225" customFormat="false" ht="15" hidden="false" customHeight="false" outlineLevel="0" collapsed="false">
      <c r="A225" s="18"/>
      <c r="B225" s="38"/>
      <c r="C225" s="39"/>
      <c r="D225" s="38"/>
      <c r="E225" s="19"/>
      <c r="F225" s="38"/>
      <c r="G225" s="40"/>
      <c r="H225" s="18"/>
      <c r="I225" s="41" t="str">
        <f aca="false">IF(COUNTA($A225:$F225)=0,"",IF($B225="","",IFERROR(INDEX(Ranges!$B$5:$B$16,MATCH($B225,Ranges!$A$5:$A$16,0)),"")))</f>
        <v/>
      </c>
      <c r="J225" s="41" t="str">
        <f aca="false">IF(COUNTA($A225:$F225)=0,"",IF($B225="","",IFERROR(INDEX(Ranges!$C$5:$C$16,MATCH($B225,Ranges!$A$5:$A$16,0)),"")))</f>
        <v/>
      </c>
      <c r="K225" s="41" t="str">
        <f aca="false">IF(COUNTA($A225:$F225)=0,"",IF($B225="","",IFERROR(INDEX(Ranges!$D$5:$D$16,MATCH($B225,Ranges!$A$5:$A$16,0)),"")))</f>
        <v/>
      </c>
      <c r="L225" s="42" t="str">
        <f aca="false">IF(OR(NOT(ISNUMBER($E225)),NOT(ISNUMBER(J225))),"",IF(J225&gt;0,$E225/J225,""))</f>
        <v/>
      </c>
      <c r="M225" s="43" t="str">
        <f aca="false">IF(OR(NOT(ISNUMBER($E225)),NOT(ISNUMBER(I225)),NOT(ISNUMBER(K225))),"",IF(K225&gt;I225,($E225-I225)/(K225-I225),""))</f>
        <v/>
      </c>
      <c r="N225" s="42" t="str">
        <f aca="false">IF(Basis="Compa-ratio",L225,M225)</f>
        <v/>
      </c>
      <c r="O225" s="44" t="str">
        <f aca="false">IF(ISNUMBER(N225),IFERROR(MATCH(N225,Matrix!$C$9:$G$9,1),1),"")</f>
        <v/>
      </c>
      <c r="P225" s="45" t="str">
        <f aca="false">IF(COUNTA($A225:$F225)=0,"",IF(Q225="","Y","N"))</f>
        <v/>
      </c>
      <c r="Q225" s="46" t="str">
        <f aca="false">IF(COUNTA($A225:$F225)=0,"",IF($A225="","ID missing",IF(TRIM($F225)="Exclude","Excluded by plan status",IF(AND(TRIM($F225)&lt;&gt;"",TRIM($F225)&lt;&gt;"Include"),"Plan status not valid (use Include or Exclude)",IF(NOT(ISNUMBER($C225)),"Hire date missing or not a date",IF($C225&gt;Cutoff,"Hired after cutoff",IF(NOT(ISNUMBER($E225)),"Salary missing or not a number",IF($E225&lt;=0,"Salary missing or not a number",IF(OR(NOT(ISNUMBER(I225)),NOT(ISNUMBER(J225)),NOT(ISNUMBER(K225))),"Grade not found in Ranges",IF($D225="","Rating missing",IF($D225="NR","Not rated (NR)",IF(NOT(ISNUMBER(MATCH($D225,Matrix!$A$14:$A$18,0))),"Rating not valid (use 1 to 5 or NR)",IF(NOT(ISNUMBER(O225)),"Band not found (check range and limits)","")))))))))))))</f>
        <v/>
      </c>
      <c r="R225" s="47" t="str">
        <f aca="false">IF($P225="Y",INDEX(Matrix!$C$14:$G$18,MATCH($D225,Matrix!$A$14:$A$18,0),$O225),IF($P225="N",0,""))</f>
        <v/>
      </c>
      <c r="S225" s="47" t="str">
        <f aca="false">IF($P225="Y",IF(AND(ISNUMBER($G225),$G225&gt;=0,$G225&lt;=1),$G225,$R225),IF($P225="N",0,""))</f>
        <v/>
      </c>
      <c r="T225" s="48" t="str">
        <f aca="false">IF($P225&lt;&gt;"Y",IF($P225="N",0,""),IF(ProrateMethod="None",1,IF($C225&lt;=PeriodStart,1,IF(ProrateMethod="Daily",MAX(0,MIN(1,(PeriodEnd-$C225+1)/(PeriodEnd-PeriodStart+1))),MAX(0,MIN(1,((YEAR(PeriodEnd)-YEAR($C225))*12+MONTH(PeriodEnd)-MONTH($C225)+1-IF(DAY($C225)&gt;MonthCutDay,1,0))/PeriodMonths))))))</f>
        <v/>
      </c>
      <c r="U225" s="47" t="str">
        <f aca="false">IF($P225="","",$S225*$T225)</f>
        <v/>
      </c>
      <c r="V225" s="49" t="str">
        <f aca="false">IF($P225="","",IF(ISNUMBER($E225),$E225,0)*$R225)</f>
        <v/>
      </c>
      <c r="W225" s="49" t="str">
        <f aca="false">IF($P225="","",IF(ISNUMBER($E225),$E225,0)*$S225)</f>
        <v/>
      </c>
      <c r="X225" s="49" t="str">
        <f aca="false">IF($P225="","",IF(ISNUMBER($E225),$E225,0)*$U225)</f>
        <v/>
      </c>
      <c r="Y225" s="49" t="str">
        <f aca="false">IF($P225="","",IF(AND(CapAtMax="Yes",$P225="Y"),MAX(0,MIN($X225,$K225-$E225)),$X225))</f>
        <v/>
      </c>
      <c r="Z225" s="41" t="str">
        <f aca="false">IF(OR($P225="",NOT(ISNUMBER($E225))),"",$E225+$Y225)</f>
        <v/>
      </c>
      <c r="AA225" s="42" t="str">
        <f aca="false">IF(AND(ISNUMBER(Z225),ISNUMBER(J225)),IF(J225&gt;0,Z225/J225,""),"")</f>
        <v/>
      </c>
      <c r="AB225" s="46" t="str">
        <f aca="false">IF($P225="","",TRIM(IF(AND($P225="Y",ISNUMBER(K225),ISNUMBER(Z225)),IF(Z225&gt;K225,"Above range max. ",""),"")&amp;IF(AND($P225="Y",ISNUMBER($X225),ISNUMBER($Y225)),IF($X225-$Y225&gt;0.005,"Capped at range max. ",""),"")&amp;IF(AND(AND(ISNUMBER($G225),$G225&gt;=0,$G225&lt;=1),$H225=""),"Override needs a reason. ","")&amp;IF(AND(AND(ISNUMBER($G225),$G225&gt;=0,$G225&lt;=1),$P225&lt;&gt;"Y"),"Override ignored. ","")&amp;IF(AND($G225&lt;&gt;"",NOT(AND(ISNUMBER($G225),$G225&gt;=0,$G225&lt;=1))),"Override not valid, ignored. ","")&amp;IF(AND($A225&lt;&gt;"",COUNTIF($A$5:$A$254,$A225)&gt;1),"Duplicate ID. ","")))</f>
        <v/>
      </c>
    </row>
    <row r="226" customFormat="false" ht="15" hidden="false" customHeight="false" outlineLevel="0" collapsed="false">
      <c r="A226" s="18"/>
      <c r="B226" s="38"/>
      <c r="C226" s="39"/>
      <c r="D226" s="38"/>
      <c r="E226" s="19"/>
      <c r="F226" s="38"/>
      <c r="G226" s="40"/>
      <c r="H226" s="18"/>
      <c r="I226" s="41" t="str">
        <f aca="false">IF(COUNTA($A226:$F226)=0,"",IF($B226="","",IFERROR(INDEX(Ranges!$B$5:$B$16,MATCH($B226,Ranges!$A$5:$A$16,0)),"")))</f>
        <v/>
      </c>
      <c r="J226" s="41" t="str">
        <f aca="false">IF(COUNTA($A226:$F226)=0,"",IF($B226="","",IFERROR(INDEX(Ranges!$C$5:$C$16,MATCH($B226,Ranges!$A$5:$A$16,0)),"")))</f>
        <v/>
      </c>
      <c r="K226" s="41" t="str">
        <f aca="false">IF(COUNTA($A226:$F226)=0,"",IF($B226="","",IFERROR(INDEX(Ranges!$D$5:$D$16,MATCH($B226,Ranges!$A$5:$A$16,0)),"")))</f>
        <v/>
      </c>
      <c r="L226" s="42" t="str">
        <f aca="false">IF(OR(NOT(ISNUMBER($E226)),NOT(ISNUMBER(J226))),"",IF(J226&gt;0,$E226/J226,""))</f>
        <v/>
      </c>
      <c r="M226" s="43" t="str">
        <f aca="false">IF(OR(NOT(ISNUMBER($E226)),NOT(ISNUMBER(I226)),NOT(ISNUMBER(K226))),"",IF(K226&gt;I226,($E226-I226)/(K226-I226),""))</f>
        <v/>
      </c>
      <c r="N226" s="42" t="str">
        <f aca="false">IF(Basis="Compa-ratio",L226,M226)</f>
        <v/>
      </c>
      <c r="O226" s="44" t="str">
        <f aca="false">IF(ISNUMBER(N226),IFERROR(MATCH(N226,Matrix!$C$9:$G$9,1),1),"")</f>
        <v/>
      </c>
      <c r="P226" s="45" t="str">
        <f aca="false">IF(COUNTA($A226:$F226)=0,"",IF(Q226="","Y","N"))</f>
        <v/>
      </c>
      <c r="Q226" s="46" t="str">
        <f aca="false">IF(COUNTA($A226:$F226)=0,"",IF($A226="","ID missing",IF(TRIM($F226)="Exclude","Excluded by plan status",IF(AND(TRIM($F226)&lt;&gt;"",TRIM($F226)&lt;&gt;"Include"),"Plan status not valid (use Include or Exclude)",IF(NOT(ISNUMBER($C226)),"Hire date missing or not a date",IF($C226&gt;Cutoff,"Hired after cutoff",IF(NOT(ISNUMBER($E226)),"Salary missing or not a number",IF($E226&lt;=0,"Salary missing or not a number",IF(OR(NOT(ISNUMBER(I226)),NOT(ISNUMBER(J226)),NOT(ISNUMBER(K226))),"Grade not found in Ranges",IF($D226="","Rating missing",IF($D226="NR","Not rated (NR)",IF(NOT(ISNUMBER(MATCH($D226,Matrix!$A$14:$A$18,0))),"Rating not valid (use 1 to 5 or NR)",IF(NOT(ISNUMBER(O226)),"Band not found (check range and limits)","")))))))))))))</f>
        <v/>
      </c>
      <c r="R226" s="47" t="str">
        <f aca="false">IF($P226="Y",INDEX(Matrix!$C$14:$G$18,MATCH($D226,Matrix!$A$14:$A$18,0),$O226),IF($P226="N",0,""))</f>
        <v/>
      </c>
      <c r="S226" s="47" t="str">
        <f aca="false">IF($P226="Y",IF(AND(ISNUMBER($G226),$G226&gt;=0,$G226&lt;=1),$G226,$R226),IF($P226="N",0,""))</f>
        <v/>
      </c>
      <c r="T226" s="48" t="str">
        <f aca="false">IF($P226&lt;&gt;"Y",IF($P226="N",0,""),IF(ProrateMethod="None",1,IF($C226&lt;=PeriodStart,1,IF(ProrateMethod="Daily",MAX(0,MIN(1,(PeriodEnd-$C226+1)/(PeriodEnd-PeriodStart+1))),MAX(0,MIN(1,((YEAR(PeriodEnd)-YEAR($C226))*12+MONTH(PeriodEnd)-MONTH($C226)+1-IF(DAY($C226)&gt;MonthCutDay,1,0))/PeriodMonths))))))</f>
        <v/>
      </c>
      <c r="U226" s="47" t="str">
        <f aca="false">IF($P226="","",$S226*$T226)</f>
        <v/>
      </c>
      <c r="V226" s="49" t="str">
        <f aca="false">IF($P226="","",IF(ISNUMBER($E226),$E226,0)*$R226)</f>
        <v/>
      </c>
      <c r="W226" s="49" t="str">
        <f aca="false">IF($P226="","",IF(ISNUMBER($E226),$E226,0)*$S226)</f>
        <v/>
      </c>
      <c r="X226" s="49" t="str">
        <f aca="false">IF($P226="","",IF(ISNUMBER($E226),$E226,0)*$U226)</f>
        <v/>
      </c>
      <c r="Y226" s="49" t="str">
        <f aca="false">IF($P226="","",IF(AND(CapAtMax="Yes",$P226="Y"),MAX(0,MIN($X226,$K226-$E226)),$X226))</f>
        <v/>
      </c>
      <c r="Z226" s="41" t="str">
        <f aca="false">IF(OR($P226="",NOT(ISNUMBER($E226))),"",$E226+$Y226)</f>
        <v/>
      </c>
      <c r="AA226" s="42" t="str">
        <f aca="false">IF(AND(ISNUMBER(Z226),ISNUMBER(J226)),IF(J226&gt;0,Z226/J226,""),"")</f>
        <v/>
      </c>
      <c r="AB226" s="46" t="str">
        <f aca="false">IF($P226="","",TRIM(IF(AND($P226="Y",ISNUMBER(K226),ISNUMBER(Z226)),IF(Z226&gt;K226,"Above range max. ",""),"")&amp;IF(AND($P226="Y",ISNUMBER($X226),ISNUMBER($Y226)),IF($X226-$Y226&gt;0.005,"Capped at range max. ",""),"")&amp;IF(AND(AND(ISNUMBER($G226),$G226&gt;=0,$G226&lt;=1),$H226=""),"Override needs a reason. ","")&amp;IF(AND(AND(ISNUMBER($G226),$G226&gt;=0,$G226&lt;=1),$P226&lt;&gt;"Y"),"Override ignored. ","")&amp;IF(AND($G226&lt;&gt;"",NOT(AND(ISNUMBER($G226),$G226&gt;=0,$G226&lt;=1))),"Override not valid, ignored. ","")&amp;IF(AND($A226&lt;&gt;"",COUNTIF($A$5:$A$254,$A226)&gt;1),"Duplicate ID. ","")))</f>
        <v/>
      </c>
    </row>
    <row r="227" customFormat="false" ht="15" hidden="false" customHeight="false" outlineLevel="0" collapsed="false">
      <c r="A227" s="18"/>
      <c r="B227" s="38"/>
      <c r="C227" s="39"/>
      <c r="D227" s="38"/>
      <c r="E227" s="19"/>
      <c r="F227" s="38"/>
      <c r="G227" s="40"/>
      <c r="H227" s="18"/>
      <c r="I227" s="41" t="str">
        <f aca="false">IF(COUNTA($A227:$F227)=0,"",IF($B227="","",IFERROR(INDEX(Ranges!$B$5:$B$16,MATCH($B227,Ranges!$A$5:$A$16,0)),"")))</f>
        <v/>
      </c>
      <c r="J227" s="41" t="str">
        <f aca="false">IF(COUNTA($A227:$F227)=0,"",IF($B227="","",IFERROR(INDEX(Ranges!$C$5:$C$16,MATCH($B227,Ranges!$A$5:$A$16,0)),"")))</f>
        <v/>
      </c>
      <c r="K227" s="41" t="str">
        <f aca="false">IF(COUNTA($A227:$F227)=0,"",IF($B227="","",IFERROR(INDEX(Ranges!$D$5:$D$16,MATCH($B227,Ranges!$A$5:$A$16,0)),"")))</f>
        <v/>
      </c>
      <c r="L227" s="42" t="str">
        <f aca="false">IF(OR(NOT(ISNUMBER($E227)),NOT(ISNUMBER(J227))),"",IF(J227&gt;0,$E227/J227,""))</f>
        <v/>
      </c>
      <c r="M227" s="43" t="str">
        <f aca="false">IF(OR(NOT(ISNUMBER($E227)),NOT(ISNUMBER(I227)),NOT(ISNUMBER(K227))),"",IF(K227&gt;I227,($E227-I227)/(K227-I227),""))</f>
        <v/>
      </c>
      <c r="N227" s="42" t="str">
        <f aca="false">IF(Basis="Compa-ratio",L227,M227)</f>
        <v/>
      </c>
      <c r="O227" s="44" t="str">
        <f aca="false">IF(ISNUMBER(N227),IFERROR(MATCH(N227,Matrix!$C$9:$G$9,1),1),"")</f>
        <v/>
      </c>
      <c r="P227" s="45" t="str">
        <f aca="false">IF(COUNTA($A227:$F227)=0,"",IF(Q227="","Y","N"))</f>
        <v/>
      </c>
      <c r="Q227" s="46" t="str">
        <f aca="false">IF(COUNTA($A227:$F227)=0,"",IF($A227="","ID missing",IF(TRIM($F227)="Exclude","Excluded by plan status",IF(AND(TRIM($F227)&lt;&gt;"",TRIM($F227)&lt;&gt;"Include"),"Plan status not valid (use Include or Exclude)",IF(NOT(ISNUMBER($C227)),"Hire date missing or not a date",IF($C227&gt;Cutoff,"Hired after cutoff",IF(NOT(ISNUMBER($E227)),"Salary missing or not a number",IF($E227&lt;=0,"Salary missing or not a number",IF(OR(NOT(ISNUMBER(I227)),NOT(ISNUMBER(J227)),NOT(ISNUMBER(K227))),"Grade not found in Ranges",IF($D227="","Rating missing",IF($D227="NR","Not rated (NR)",IF(NOT(ISNUMBER(MATCH($D227,Matrix!$A$14:$A$18,0))),"Rating not valid (use 1 to 5 or NR)",IF(NOT(ISNUMBER(O227)),"Band not found (check range and limits)","")))))))))))))</f>
        <v/>
      </c>
      <c r="R227" s="47" t="str">
        <f aca="false">IF($P227="Y",INDEX(Matrix!$C$14:$G$18,MATCH($D227,Matrix!$A$14:$A$18,0),$O227),IF($P227="N",0,""))</f>
        <v/>
      </c>
      <c r="S227" s="47" t="str">
        <f aca="false">IF($P227="Y",IF(AND(ISNUMBER($G227),$G227&gt;=0,$G227&lt;=1),$G227,$R227),IF($P227="N",0,""))</f>
        <v/>
      </c>
      <c r="T227" s="48" t="str">
        <f aca="false">IF($P227&lt;&gt;"Y",IF($P227="N",0,""),IF(ProrateMethod="None",1,IF($C227&lt;=PeriodStart,1,IF(ProrateMethod="Daily",MAX(0,MIN(1,(PeriodEnd-$C227+1)/(PeriodEnd-PeriodStart+1))),MAX(0,MIN(1,((YEAR(PeriodEnd)-YEAR($C227))*12+MONTH(PeriodEnd)-MONTH($C227)+1-IF(DAY($C227)&gt;MonthCutDay,1,0))/PeriodMonths))))))</f>
        <v/>
      </c>
      <c r="U227" s="47" t="str">
        <f aca="false">IF($P227="","",$S227*$T227)</f>
        <v/>
      </c>
      <c r="V227" s="49" t="str">
        <f aca="false">IF($P227="","",IF(ISNUMBER($E227),$E227,0)*$R227)</f>
        <v/>
      </c>
      <c r="W227" s="49" t="str">
        <f aca="false">IF($P227="","",IF(ISNUMBER($E227),$E227,0)*$S227)</f>
        <v/>
      </c>
      <c r="X227" s="49" t="str">
        <f aca="false">IF($P227="","",IF(ISNUMBER($E227),$E227,0)*$U227)</f>
        <v/>
      </c>
      <c r="Y227" s="49" t="str">
        <f aca="false">IF($P227="","",IF(AND(CapAtMax="Yes",$P227="Y"),MAX(0,MIN($X227,$K227-$E227)),$X227))</f>
        <v/>
      </c>
      <c r="Z227" s="41" t="str">
        <f aca="false">IF(OR($P227="",NOT(ISNUMBER($E227))),"",$E227+$Y227)</f>
        <v/>
      </c>
      <c r="AA227" s="42" t="str">
        <f aca="false">IF(AND(ISNUMBER(Z227),ISNUMBER(J227)),IF(J227&gt;0,Z227/J227,""),"")</f>
        <v/>
      </c>
      <c r="AB227" s="46" t="str">
        <f aca="false">IF($P227="","",TRIM(IF(AND($P227="Y",ISNUMBER(K227),ISNUMBER(Z227)),IF(Z227&gt;K227,"Above range max. ",""),"")&amp;IF(AND($P227="Y",ISNUMBER($X227),ISNUMBER($Y227)),IF($X227-$Y227&gt;0.005,"Capped at range max. ",""),"")&amp;IF(AND(AND(ISNUMBER($G227),$G227&gt;=0,$G227&lt;=1),$H227=""),"Override needs a reason. ","")&amp;IF(AND(AND(ISNUMBER($G227),$G227&gt;=0,$G227&lt;=1),$P227&lt;&gt;"Y"),"Override ignored. ","")&amp;IF(AND($G227&lt;&gt;"",NOT(AND(ISNUMBER($G227),$G227&gt;=0,$G227&lt;=1))),"Override not valid, ignored. ","")&amp;IF(AND($A227&lt;&gt;"",COUNTIF($A$5:$A$254,$A227)&gt;1),"Duplicate ID. ","")))</f>
        <v/>
      </c>
    </row>
    <row r="228" customFormat="false" ht="15" hidden="false" customHeight="false" outlineLevel="0" collapsed="false">
      <c r="A228" s="18"/>
      <c r="B228" s="38"/>
      <c r="C228" s="39"/>
      <c r="D228" s="38"/>
      <c r="E228" s="19"/>
      <c r="F228" s="38"/>
      <c r="G228" s="40"/>
      <c r="H228" s="18"/>
      <c r="I228" s="41" t="str">
        <f aca="false">IF(COUNTA($A228:$F228)=0,"",IF($B228="","",IFERROR(INDEX(Ranges!$B$5:$B$16,MATCH($B228,Ranges!$A$5:$A$16,0)),"")))</f>
        <v/>
      </c>
      <c r="J228" s="41" t="str">
        <f aca="false">IF(COUNTA($A228:$F228)=0,"",IF($B228="","",IFERROR(INDEX(Ranges!$C$5:$C$16,MATCH($B228,Ranges!$A$5:$A$16,0)),"")))</f>
        <v/>
      </c>
      <c r="K228" s="41" t="str">
        <f aca="false">IF(COUNTA($A228:$F228)=0,"",IF($B228="","",IFERROR(INDEX(Ranges!$D$5:$D$16,MATCH($B228,Ranges!$A$5:$A$16,0)),"")))</f>
        <v/>
      </c>
      <c r="L228" s="42" t="str">
        <f aca="false">IF(OR(NOT(ISNUMBER($E228)),NOT(ISNUMBER(J228))),"",IF(J228&gt;0,$E228/J228,""))</f>
        <v/>
      </c>
      <c r="M228" s="43" t="str">
        <f aca="false">IF(OR(NOT(ISNUMBER($E228)),NOT(ISNUMBER(I228)),NOT(ISNUMBER(K228))),"",IF(K228&gt;I228,($E228-I228)/(K228-I228),""))</f>
        <v/>
      </c>
      <c r="N228" s="42" t="str">
        <f aca="false">IF(Basis="Compa-ratio",L228,M228)</f>
        <v/>
      </c>
      <c r="O228" s="44" t="str">
        <f aca="false">IF(ISNUMBER(N228),IFERROR(MATCH(N228,Matrix!$C$9:$G$9,1),1),"")</f>
        <v/>
      </c>
      <c r="P228" s="45" t="str">
        <f aca="false">IF(COUNTA($A228:$F228)=0,"",IF(Q228="","Y","N"))</f>
        <v/>
      </c>
      <c r="Q228" s="46" t="str">
        <f aca="false">IF(COUNTA($A228:$F228)=0,"",IF($A228="","ID missing",IF(TRIM($F228)="Exclude","Excluded by plan status",IF(AND(TRIM($F228)&lt;&gt;"",TRIM($F228)&lt;&gt;"Include"),"Plan status not valid (use Include or Exclude)",IF(NOT(ISNUMBER($C228)),"Hire date missing or not a date",IF($C228&gt;Cutoff,"Hired after cutoff",IF(NOT(ISNUMBER($E228)),"Salary missing or not a number",IF($E228&lt;=0,"Salary missing or not a number",IF(OR(NOT(ISNUMBER(I228)),NOT(ISNUMBER(J228)),NOT(ISNUMBER(K228))),"Grade not found in Ranges",IF($D228="","Rating missing",IF($D228="NR","Not rated (NR)",IF(NOT(ISNUMBER(MATCH($D228,Matrix!$A$14:$A$18,0))),"Rating not valid (use 1 to 5 or NR)",IF(NOT(ISNUMBER(O228)),"Band not found (check range and limits)","")))))))))))))</f>
        <v/>
      </c>
      <c r="R228" s="47" t="str">
        <f aca="false">IF($P228="Y",INDEX(Matrix!$C$14:$G$18,MATCH($D228,Matrix!$A$14:$A$18,0),$O228),IF($P228="N",0,""))</f>
        <v/>
      </c>
      <c r="S228" s="47" t="str">
        <f aca="false">IF($P228="Y",IF(AND(ISNUMBER($G228),$G228&gt;=0,$G228&lt;=1),$G228,$R228),IF($P228="N",0,""))</f>
        <v/>
      </c>
      <c r="T228" s="48" t="str">
        <f aca="false">IF($P228&lt;&gt;"Y",IF($P228="N",0,""),IF(ProrateMethod="None",1,IF($C228&lt;=PeriodStart,1,IF(ProrateMethod="Daily",MAX(0,MIN(1,(PeriodEnd-$C228+1)/(PeriodEnd-PeriodStart+1))),MAX(0,MIN(1,((YEAR(PeriodEnd)-YEAR($C228))*12+MONTH(PeriodEnd)-MONTH($C228)+1-IF(DAY($C228)&gt;MonthCutDay,1,0))/PeriodMonths))))))</f>
        <v/>
      </c>
      <c r="U228" s="47" t="str">
        <f aca="false">IF($P228="","",$S228*$T228)</f>
        <v/>
      </c>
      <c r="V228" s="49" t="str">
        <f aca="false">IF($P228="","",IF(ISNUMBER($E228),$E228,0)*$R228)</f>
        <v/>
      </c>
      <c r="W228" s="49" t="str">
        <f aca="false">IF($P228="","",IF(ISNUMBER($E228),$E228,0)*$S228)</f>
        <v/>
      </c>
      <c r="X228" s="49" t="str">
        <f aca="false">IF($P228="","",IF(ISNUMBER($E228),$E228,0)*$U228)</f>
        <v/>
      </c>
      <c r="Y228" s="49" t="str">
        <f aca="false">IF($P228="","",IF(AND(CapAtMax="Yes",$P228="Y"),MAX(0,MIN($X228,$K228-$E228)),$X228))</f>
        <v/>
      </c>
      <c r="Z228" s="41" t="str">
        <f aca="false">IF(OR($P228="",NOT(ISNUMBER($E228))),"",$E228+$Y228)</f>
        <v/>
      </c>
      <c r="AA228" s="42" t="str">
        <f aca="false">IF(AND(ISNUMBER(Z228),ISNUMBER(J228)),IF(J228&gt;0,Z228/J228,""),"")</f>
        <v/>
      </c>
      <c r="AB228" s="46" t="str">
        <f aca="false">IF($P228="","",TRIM(IF(AND($P228="Y",ISNUMBER(K228),ISNUMBER(Z228)),IF(Z228&gt;K228,"Above range max. ",""),"")&amp;IF(AND($P228="Y",ISNUMBER($X228),ISNUMBER($Y228)),IF($X228-$Y228&gt;0.005,"Capped at range max. ",""),"")&amp;IF(AND(AND(ISNUMBER($G228),$G228&gt;=0,$G228&lt;=1),$H228=""),"Override needs a reason. ","")&amp;IF(AND(AND(ISNUMBER($G228),$G228&gt;=0,$G228&lt;=1),$P228&lt;&gt;"Y"),"Override ignored. ","")&amp;IF(AND($G228&lt;&gt;"",NOT(AND(ISNUMBER($G228),$G228&gt;=0,$G228&lt;=1))),"Override not valid, ignored. ","")&amp;IF(AND($A228&lt;&gt;"",COUNTIF($A$5:$A$254,$A228)&gt;1),"Duplicate ID. ","")))</f>
        <v/>
      </c>
    </row>
    <row r="229" customFormat="false" ht="15" hidden="false" customHeight="false" outlineLevel="0" collapsed="false">
      <c r="A229" s="18"/>
      <c r="B229" s="38"/>
      <c r="C229" s="39"/>
      <c r="D229" s="38"/>
      <c r="E229" s="19"/>
      <c r="F229" s="38"/>
      <c r="G229" s="40"/>
      <c r="H229" s="18"/>
      <c r="I229" s="41" t="str">
        <f aca="false">IF(COUNTA($A229:$F229)=0,"",IF($B229="","",IFERROR(INDEX(Ranges!$B$5:$B$16,MATCH($B229,Ranges!$A$5:$A$16,0)),"")))</f>
        <v/>
      </c>
      <c r="J229" s="41" t="str">
        <f aca="false">IF(COUNTA($A229:$F229)=0,"",IF($B229="","",IFERROR(INDEX(Ranges!$C$5:$C$16,MATCH($B229,Ranges!$A$5:$A$16,0)),"")))</f>
        <v/>
      </c>
      <c r="K229" s="41" t="str">
        <f aca="false">IF(COUNTA($A229:$F229)=0,"",IF($B229="","",IFERROR(INDEX(Ranges!$D$5:$D$16,MATCH($B229,Ranges!$A$5:$A$16,0)),"")))</f>
        <v/>
      </c>
      <c r="L229" s="42" t="str">
        <f aca="false">IF(OR(NOT(ISNUMBER($E229)),NOT(ISNUMBER(J229))),"",IF(J229&gt;0,$E229/J229,""))</f>
        <v/>
      </c>
      <c r="M229" s="43" t="str">
        <f aca="false">IF(OR(NOT(ISNUMBER($E229)),NOT(ISNUMBER(I229)),NOT(ISNUMBER(K229))),"",IF(K229&gt;I229,($E229-I229)/(K229-I229),""))</f>
        <v/>
      </c>
      <c r="N229" s="42" t="str">
        <f aca="false">IF(Basis="Compa-ratio",L229,M229)</f>
        <v/>
      </c>
      <c r="O229" s="44" t="str">
        <f aca="false">IF(ISNUMBER(N229),IFERROR(MATCH(N229,Matrix!$C$9:$G$9,1),1),"")</f>
        <v/>
      </c>
      <c r="P229" s="45" t="str">
        <f aca="false">IF(COUNTA($A229:$F229)=0,"",IF(Q229="","Y","N"))</f>
        <v/>
      </c>
      <c r="Q229" s="46" t="str">
        <f aca="false">IF(COUNTA($A229:$F229)=0,"",IF($A229="","ID missing",IF(TRIM($F229)="Exclude","Excluded by plan status",IF(AND(TRIM($F229)&lt;&gt;"",TRIM($F229)&lt;&gt;"Include"),"Plan status not valid (use Include or Exclude)",IF(NOT(ISNUMBER($C229)),"Hire date missing or not a date",IF($C229&gt;Cutoff,"Hired after cutoff",IF(NOT(ISNUMBER($E229)),"Salary missing or not a number",IF($E229&lt;=0,"Salary missing or not a number",IF(OR(NOT(ISNUMBER(I229)),NOT(ISNUMBER(J229)),NOT(ISNUMBER(K229))),"Grade not found in Ranges",IF($D229="","Rating missing",IF($D229="NR","Not rated (NR)",IF(NOT(ISNUMBER(MATCH($D229,Matrix!$A$14:$A$18,0))),"Rating not valid (use 1 to 5 or NR)",IF(NOT(ISNUMBER(O229)),"Band not found (check range and limits)","")))))))))))))</f>
        <v/>
      </c>
      <c r="R229" s="47" t="str">
        <f aca="false">IF($P229="Y",INDEX(Matrix!$C$14:$G$18,MATCH($D229,Matrix!$A$14:$A$18,0),$O229),IF($P229="N",0,""))</f>
        <v/>
      </c>
      <c r="S229" s="47" t="str">
        <f aca="false">IF($P229="Y",IF(AND(ISNUMBER($G229),$G229&gt;=0,$G229&lt;=1),$G229,$R229),IF($P229="N",0,""))</f>
        <v/>
      </c>
      <c r="T229" s="48" t="str">
        <f aca="false">IF($P229&lt;&gt;"Y",IF($P229="N",0,""),IF(ProrateMethod="None",1,IF($C229&lt;=PeriodStart,1,IF(ProrateMethod="Daily",MAX(0,MIN(1,(PeriodEnd-$C229+1)/(PeriodEnd-PeriodStart+1))),MAX(0,MIN(1,((YEAR(PeriodEnd)-YEAR($C229))*12+MONTH(PeriodEnd)-MONTH($C229)+1-IF(DAY($C229)&gt;MonthCutDay,1,0))/PeriodMonths))))))</f>
        <v/>
      </c>
      <c r="U229" s="47" t="str">
        <f aca="false">IF($P229="","",$S229*$T229)</f>
        <v/>
      </c>
      <c r="V229" s="49" t="str">
        <f aca="false">IF($P229="","",IF(ISNUMBER($E229),$E229,0)*$R229)</f>
        <v/>
      </c>
      <c r="W229" s="49" t="str">
        <f aca="false">IF($P229="","",IF(ISNUMBER($E229),$E229,0)*$S229)</f>
        <v/>
      </c>
      <c r="X229" s="49" t="str">
        <f aca="false">IF($P229="","",IF(ISNUMBER($E229),$E229,0)*$U229)</f>
        <v/>
      </c>
      <c r="Y229" s="49" t="str">
        <f aca="false">IF($P229="","",IF(AND(CapAtMax="Yes",$P229="Y"),MAX(0,MIN($X229,$K229-$E229)),$X229))</f>
        <v/>
      </c>
      <c r="Z229" s="41" t="str">
        <f aca="false">IF(OR($P229="",NOT(ISNUMBER($E229))),"",$E229+$Y229)</f>
        <v/>
      </c>
      <c r="AA229" s="42" t="str">
        <f aca="false">IF(AND(ISNUMBER(Z229),ISNUMBER(J229)),IF(J229&gt;0,Z229/J229,""),"")</f>
        <v/>
      </c>
      <c r="AB229" s="46" t="str">
        <f aca="false">IF($P229="","",TRIM(IF(AND($P229="Y",ISNUMBER(K229),ISNUMBER(Z229)),IF(Z229&gt;K229,"Above range max. ",""),"")&amp;IF(AND($P229="Y",ISNUMBER($X229),ISNUMBER($Y229)),IF($X229-$Y229&gt;0.005,"Capped at range max. ",""),"")&amp;IF(AND(AND(ISNUMBER($G229),$G229&gt;=0,$G229&lt;=1),$H229=""),"Override needs a reason. ","")&amp;IF(AND(AND(ISNUMBER($G229),$G229&gt;=0,$G229&lt;=1),$P229&lt;&gt;"Y"),"Override ignored. ","")&amp;IF(AND($G229&lt;&gt;"",NOT(AND(ISNUMBER($G229),$G229&gt;=0,$G229&lt;=1))),"Override not valid, ignored. ","")&amp;IF(AND($A229&lt;&gt;"",COUNTIF($A$5:$A$254,$A229)&gt;1),"Duplicate ID. ","")))</f>
        <v/>
      </c>
    </row>
    <row r="230" customFormat="false" ht="15" hidden="false" customHeight="false" outlineLevel="0" collapsed="false">
      <c r="A230" s="18"/>
      <c r="B230" s="38"/>
      <c r="C230" s="39"/>
      <c r="D230" s="38"/>
      <c r="E230" s="19"/>
      <c r="F230" s="38"/>
      <c r="G230" s="40"/>
      <c r="H230" s="18"/>
      <c r="I230" s="41" t="str">
        <f aca="false">IF(COUNTA($A230:$F230)=0,"",IF($B230="","",IFERROR(INDEX(Ranges!$B$5:$B$16,MATCH($B230,Ranges!$A$5:$A$16,0)),"")))</f>
        <v/>
      </c>
      <c r="J230" s="41" t="str">
        <f aca="false">IF(COUNTA($A230:$F230)=0,"",IF($B230="","",IFERROR(INDEX(Ranges!$C$5:$C$16,MATCH($B230,Ranges!$A$5:$A$16,0)),"")))</f>
        <v/>
      </c>
      <c r="K230" s="41" t="str">
        <f aca="false">IF(COUNTA($A230:$F230)=0,"",IF($B230="","",IFERROR(INDEX(Ranges!$D$5:$D$16,MATCH($B230,Ranges!$A$5:$A$16,0)),"")))</f>
        <v/>
      </c>
      <c r="L230" s="42" t="str">
        <f aca="false">IF(OR(NOT(ISNUMBER($E230)),NOT(ISNUMBER(J230))),"",IF(J230&gt;0,$E230/J230,""))</f>
        <v/>
      </c>
      <c r="M230" s="43" t="str">
        <f aca="false">IF(OR(NOT(ISNUMBER($E230)),NOT(ISNUMBER(I230)),NOT(ISNUMBER(K230))),"",IF(K230&gt;I230,($E230-I230)/(K230-I230),""))</f>
        <v/>
      </c>
      <c r="N230" s="42" t="str">
        <f aca="false">IF(Basis="Compa-ratio",L230,M230)</f>
        <v/>
      </c>
      <c r="O230" s="44" t="str">
        <f aca="false">IF(ISNUMBER(N230),IFERROR(MATCH(N230,Matrix!$C$9:$G$9,1),1),"")</f>
        <v/>
      </c>
      <c r="P230" s="45" t="str">
        <f aca="false">IF(COUNTA($A230:$F230)=0,"",IF(Q230="","Y","N"))</f>
        <v/>
      </c>
      <c r="Q230" s="46" t="str">
        <f aca="false">IF(COUNTA($A230:$F230)=0,"",IF($A230="","ID missing",IF(TRIM($F230)="Exclude","Excluded by plan status",IF(AND(TRIM($F230)&lt;&gt;"",TRIM($F230)&lt;&gt;"Include"),"Plan status not valid (use Include or Exclude)",IF(NOT(ISNUMBER($C230)),"Hire date missing or not a date",IF($C230&gt;Cutoff,"Hired after cutoff",IF(NOT(ISNUMBER($E230)),"Salary missing or not a number",IF($E230&lt;=0,"Salary missing or not a number",IF(OR(NOT(ISNUMBER(I230)),NOT(ISNUMBER(J230)),NOT(ISNUMBER(K230))),"Grade not found in Ranges",IF($D230="","Rating missing",IF($D230="NR","Not rated (NR)",IF(NOT(ISNUMBER(MATCH($D230,Matrix!$A$14:$A$18,0))),"Rating not valid (use 1 to 5 or NR)",IF(NOT(ISNUMBER(O230)),"Band not found (check range and limits)","")))))))))))))</f>
        <v/>
      </c>
      <c r="R230" s="47" t="str">
        <f aca="false">IF($P230="Y",INDEX(Matrix!$C$14:$G$18,MATCH($D230,Matrix!$A$14:$A$18,0),$O230),IF($P230="N",0,""))</f>
        <v/>
      </c>
      <c r="S230" s="47" t="str">
        <f aca="false">IF($P230="Y",IF(AND(ISNUMBER($G230),$G230&gt;=0,$G230&lt;=1),$G230,$R230),IF($P230="N",0,""))</f>
        <v/>
      </c>
      <c r="T230" s="48" t="str">
        <f aca="false">IF($P230&lt;&gt;"Y",IF($P230="N",0,""),IF(ProrateMethod="None",1,IF($C230&lt;=PeriodStart,1,IF(ProrateMethod="Daily",MAX(0,MIN(1,(PeriodEnd-$C230+1)/(PeriodEnd-PeriodStart+1))),MAX(0,MIN(1,((YEAR(PeriodEnd)-YEAR($C230))*12+MONTH(PeriodEnd)-MONTH($C230)+1-IF(DAY($C230)&gt;MonthCutDay,1,0))/PeriodMonths))))))</f>
        <v/>
      </c>
      <c r="U230" s="47" t="str">
        <f aca="false">IF($P230="","",$S230*$T230)</f>
        <v/>
      </c>
      <c r="V230" s="49" t="str">
        <f aca="false">IF($P230="","",IF(ISNUMBER($E230),$E230,0)*$R230)</f>
        <v/>
      </c>
      <c r="W230" s="49" t="str">
        <f aca="false">IF($P230="","",IF(ISNUMBER($E230),$E230,0)*$S230)</f>
        <v/>
      </c>
      <c r="X230" s="49" t="str">
        <f aca="false">IF($P230="","",IF(ISNUMBER($E230),$E230,0)*$U230)</f>
        <v/>
      </c>
      <c r="Y230" s="49" t="str">
        <f aca="false">IF($P230="","",IF(AND(CapAtMax="Yes",$P230="Y"),MAX(0,MIN($X230,$K230-$E230)),$X230))</f>
        <v/>
      </c>
      <c r="Z230" s="41" t="str">
        <f aca="false">IF(OR($P230="",NOT(ISNUMBER($E230))),"",$E230+$Y230)</f>
        <v/>
      </c>
      <c r="AA230" s="42" t="str">
        <f aca="false">IF(AND(ISNUMBER(Z230),ISNUMBER(J230)),IF(J230&gt;0,Z230/J230,""),"")</f>
        <v/>
      </c>
      <c r="AB230" s="46" t="str">
        <f aca="false">IF($P230="","",TRIM(IF(AND($P230="Y",ISNUMBER(K230),ISNUMBER(Z230)),IF(Z230&gt;K230,"Above range max. ",""),"")&amp;IF(AND($P230="Y",ISNUMBER($X230),ISNUMBER($Y230)),IF($X230-$Y230&gt;0.005,"Capped at range max. ",""),"")&amp;IF(AND(AND(ISNUMBER($G230),$G230&gt;=0,$G230&lt;=1),$H230=""),"Override needs a reason. ","")&amp;IF(AND(AND(ISNUMBER($G230),$G230&gt;=0,$G230&lt;=1),$P230&lt;&gt;"Y"),"Override ignored. ","")&amp;IF(AND($G230&lt;&gt;"",NOT(AND(ISNUMBER($G230),$G230&gt;=0,$G230&lt;=1))),"Override not valid, ignored. ","")&amp;IF(AND($A230&lt;&gt;"",COUNTIF($A$5:$A$254,$A230)&gt;1),"Duplicate ID. ","")))</f>
        <v/>
      </c>
    </row>
    <row r="231" customFormat="false" ht="15" hidden="false" customHeight="false" outlineLevel="0" collapsed="false">
      <c r="A231" s="18"/>
      <c r="B231" s="38"/>
      <c r="C231" s="39"/>
      <c r="D231" s="38"/>
      <c r="E231" s="19"/>
      <c r="F231" s="38"/>
      <c r="G231" s="40"/>
      <c r="H231" s="18"/>
      <c r="I231" s="41" t="str">
        <f aca="false">IF(COUNTA($A231:$F231)=0,"",IF($B231="","",IFERROR(INDEX(Ranges!$B$5:$B$16,MATCH($B231,Ranges!$A$5:$A$16,0)),"")))</f>
        <v/>
      </c>
      <c r="J231" s="41" t="str">
        <f aca="false">IF(COUNTA($A231:$F231)=0,"",IF($B231="","",IFERROR(INDEX(Ranges!$C$5:$C$16,MATCH($B231,Ranges!$A$5:$A$16,0)),"")))</f>
        <v/>
      </c>
      <c r="K231" s="41" t="str">
        <f aca="false">IF(COUNTA($A231:$F231)=0,"",IF($B231="","",IFERROR(INDEX(Ranges!$D$5:$D$16,MATCH($B231,Ranges!$A$5:$A$16,0)),"")))</f>
        <v/>
      </c>
      <c r="L231" s="42" t="str">
        <f aca="false">IF(OR(NOT(ISNUMBER($E231)),NOT(ISNUMBER(J231))),"",IF(J231&gt;0,$E231/J231,""))</f>
        <v/>
      </c>
      <c r="M231" s="43" t="str">
        <f aca="false">IF(OR(NOT(ISNUMBER($E231)),NOT(ISNUMBER(I231)),NOT(ISNUMBER(K231))),"",IF(K231&gt;I231,($E231-I231)/(K231-I231),""))</f>
        <v/>
      </c>
      <c r="N231" s="42" t="str">
        <f aca="false">IF(Basis="Compa-ratio",L231,M231)</f>
        <v/>
      </c>
      <c r="O231" s="44" t="str">
        <f aca="false">IF(ISNUMBER(N231),IFERROR(MATCH(N231,Matrix!$C$9:$G$9,1),1),"")</f>
        <v/>
      </c>
      <c r="P231" s="45" t="str">
        <f aca="false">IF(COUNTA($A231:$F231)=0,"",IF(Q231="","Y","N"))</f>
        <v/>
      </c>
      <c r="Q231" s="46" t="str">
        <f aca="false">IF(COUNTA($A231:$F231)=0,"",IF($A231="","ID missing",IF(TRIM($F231)="Exclude","Excluded by plan status",IF(AND(TRIM($F231)&lt;&gt;"",TRIM($F231)&lt;&gt;"Include"),"Plan status not valid (use Include or Exclude)",IF(NOT(ISNUMBER($C231)),"Hire date missing or not a date",IF($C231&gt;Cutoff,"Hired after cutoff",IF(NOT(ISNUMBER($E231)),"Salary missing or not a number",IF($E231&lt;=0,"Salary missing or not a number",IF(OR(NOT(ISNUMBER(I231)),NOT(ISNUMBER(J231)),NOT(ISNUMBER(K231))),"Grade not found in Ranges",IF($D231="","Rating missing",IF($D231="NR","Not rated (NR)",IF(NOT(ISNUMBER(MATCH($D231,Matrix!$A$14:$A$18,0))),"Rating not valid (use 1 to 5 or NR)",IF(NOT(ISNUMBER(O231)),"Band not found (check range and limits)","")))))))))))))</f>
        <v/>
      </c>
      <c r="R231" s="47" t="str">
        <f aca="false">IF($P231="Y",INDEX(Matrix!$C$14:$G$18,MATCH($D231,Matrix!$A$14:$A$18,0),$O231),IF($P231="N",0,""))</f>
        <v/>
      </c>
      <c r="S231" s="47" t="str">
        <f aca="false">IF($P231="Y",IF(AND(ISNUMBER($G231),$G231&gt;=0,$G231&lt;=1),$G231,$R231),IF($P231="N",0,""))</f>
        <v/>
      </c>
      <c r="T231" s="48" t="str">
        <f aca="false">IF($P231&lt;&gt;"Y",IF($P231="N",0,""),IF(ProrateMethod="None",1,IF($C231&lt;=PeriodStart,1,IF(ProrateMethod="Daily",MAX(0,MIN(1,(PeriodEnd-$C231+1)/(PeriodEnd-PeriodStart+1))),MAX(0,MIN(1,((YEAR(PeriodEnd)-YEAR($C231))*12+MONTH(PeriodEnd)-MONTH($C231)+1-IF(DAY($C231)&gt;MonthCutDay,1,0))/PeriodMonths))))))</f>
        <v/>
      </c>
      <c r="U231" s="47" t="str">
        <f aca="false">IF($P231="","",$S231*$T231)</f>
        <v/>
      </c>
      <c r="V231" s="49" t="str">
        <f aca="false">IF($P231="","",IF(ISNUMBER($E231),$E231,0)*$R231)</f>
        <v/>
      </c>
      <c r="W231" s="49" t="str">
        <f aca="false">IF($P231="","",IF(ISNUMBER($E231),$E231,0)*$S231)</f>
        <v/>
      </c>
      <c r="X231" s="49" t="str">
        <f aca="false">IF($P231="","",IF(ISNUMBER($E231),$E231,0)*$U231)</f>
        <v/>
      </c>
      <c r="Y231" s="49" t="str">
        <f aca="false">IF($P231="","",IF(AND(CapAtMax="Yes",$P231="Y"),MAX(0,MIN($X231,$K231-$E231)),$X231))</f>
        <v/>
      </c>
      <c r="Z231" s="41" t="str">
        <f aca="false">IF(OR($P231="",NOT(ISNUMBER($E231))),"",$E231+$Y231)</f>
        <v/>
      </c>
      <c r="AA231" s="42" t="str">
        <f aca="false">IF(AND(ISNUMBER(Z231),ISNUMBER(J231)),IF(J231&gt;0,Z231/J231,""),"")</f>
        <v/>
      </c>
      <c r="AB231" s="46" t="str">
        <f aca="false">IF($P231="","",TRIM(IF(AND($P231="Y",ISNUMBER(K231),ISNUMBER(Z231)),IF(Z231&gt;K231,"Above range max. ",""),"")&amp;IF(AND($P231="Y",ISNUMBER($X231),ISNUMBER($Y231)),IF($X231-$Y231&gt;0.005,"Capped at range max. ",""),"")&amp;IF(AND(AND(ISNUMBER($G231),$G231&gt;=0,$G231&lt;=1),$H231=""),"Override needs a reason. ","")&amp;IF(AND(AND(ISNUMBER($G231),$G231&gt;=0,$G231&lt;=1),$P231&lt;&gt;"Y"),"Override ignored. ","")&amp;IF(AND($G231&lt;&gt;"",NOT(AND(ISNUMBER($G231),$G231&gt;=0,$G231&lt;=1))),"Override not valid, ignored. ","")&amp;IF(AND($A231&lt;&gt;"",COUNTIF($A$5:$A$254,$A231)&gt;1),"Duplicate ID. ","")))</f>
        <v/>
      </c>
    </row>
    <row r="232" customFormat="false" ht="15" hidden="false" customHeight="false" outlineLevel="0" collapsed="false">
      <c r="A232" s="18"/>
      <c r="B232" s="38"/>
      <c r="C232" s="39"/>
      <c r="D232" s="38"/>
      <c r="E232" s="19"/>
      <c r="F232" s="38"/>
      <c r="G232" s="40"/>
      <c r="H232" s="18"/>
      <c r="I232" s="41" t="str">
        <f aca="false">IF(COUNTA($A232:$F232)=0,"",IF($B232="","",IFERROR(INDEX(Ranges!$B$5:$B$16,MATCH($B232,Ranges!$A$5:$A$16,0)),"")))</f>
        <v/>
      </c>
      <c r="J232" s="41" t="str">
        <f aca="false">IF(COUNTA($A232:$F232)=0,"",IF($B232="","",IFERROR(INDEX(Ranges!$C$5:$C$16,MATCH($B232,Ranges!$A$5:$A$16,0)),"")))</f>
        <v/>
      </c>
      <c r="K232" s="41" t="str">
        <f aca="false">IF(COUNTA($A232:$F232)=0,"",IF($B232="","",IFERROR(INDEX(Ranges!$D$5:$D$16,MATCH($B232,Ranges!$A$5:$A$16,0)),"")))</f>
        <v/>
      </c>
      <c r="L232" s="42" t="str">
        <f aca="false">IF(OR(NOT(ISNUMBER($E232)),NOT(ISNUMBER(J232))),"",IF(J232&gt;0,$E232/J232,""))</f>
        <v/>
      </c>
      <c r="M232" s="43" t="str">
        <f aca="false">IF(OR(NOT(ISNUMBER($E232)),NOT(ISNUMBER(I232)),NOT(ISNUMBER(K232))),"",IF(K232&gt;I232,($E232-I232)/(K232-I232),""))</f>
        <v/>
      </c>
      <c r="N232" s="42" t="str">
        <f aca="false">IF(Basis="Compa-ratio",L232,M232)</f>
        <v/>
      </c>
      <c r="O232" s="44" t="str">
        <f aca="false">IF(ISNUMBER(N232),IFERROR(MATCH(N232,Matrix!$C$9:$G$9,1),1),"")</f>
        <v/>
      </c>
      <c r="P232" s="45" t="str">
        <f aca="false">IF(COUNTA($A232:$F232)=0,"",IF(Q232="","Y","N"))</f>
        <v/>
      </c>
      <c r="Q232" s="46" t="str">
        <f aca="false">IF(COUNTA($A232:$F232)=0,"",IF($A232="","ID missing",IF(TRIM($F232)="Exclude","Excluded by plan status",IF(AND(TRIM($F232)&lt;&gt;"",TRIM($F232)&lt;&gt;"Include"),"Plan status not valid (use Include or Exclude)",IF(NOT(ISNUMBER($C232)),"Hire date missing or not a date",IF($C232&gt;Cutoff,"Hired after cutoff",IF(NOT(ISNUMBER($E232)),"Salary missing or not a number",IF($E232&lt;=0,"Salary missing or not a number",IF(OR(NOT(ISNUMBER(I232)),NOT(ISNUMBER(J232)),NOT(ISNUMBER(K232))),"Grade not found in Ranges",IF($D232="","Rating missing",IF($D232="NR","Not rated (NR)",IF(NOT(ISNUMBER(MATCH($D232,Matrix!$A$14:$A$18,0))),"Rating not valid (use 1 to 5 or NR)",IF(NOT(ISNUMBER(O232)),"Band not found (check range and limits)","")))))))))))))</f>
        <v/>
      </c>
      <c r="R232" s="47" t="str">
        <f aca="false">IF($P232="Y",INDEX(Matrix!$C$14:$G$18,MATCH($D232,Matrix!$A$14:$A$18,0),$O232),IF($P232="N",0,""))</f>
        <v/>
      </c>
      <c r="S232" s="47" t="str">
        <f aca="false">IF($P232="Y",IF(AND(ISNUMBER($G232),$G232&gt;=0,$G232&lt;=1),$G232,$R232),IF($P232="N",0,""))</f>
        <v/>
      </c>
      <c r="T232" s="48" t="str">
        <f aca="false">IF($P232&lt;&gt;"Y",IF($P232="N",0,""),IF(ProrateMethod="None",1,IF($C232&lt;=PeriodStart,1,IF(ProrateMethod="Daily",MAX(0,MIN(1,(PeriodEnd-$C232+1)/(PeriodEnd-PeriodStart+1))),MAX(0,MIN(1,((YEAR(PeriodEnd)-YEAR($C232))*12+MONTH(PeriodEnd)-MONTH($C232)+1-IF(DAY($C232)&gt;MonthCutDay,1,0))/PeriodMonths))))))</f>
        <v/>
      </c>
      <c r="U232" s="47" t="str">
        <f aca="false">IF($P232="","",$S232*$T232)</f>
        <v/>
      </c>
      <c r="V232" s="49" t="str">
        <f aca="false">IF($P232="","",IF(ISNUMBER($E232),$E232,0)*$R232)</f>
        <v/>
      </c>
      <c r="W232" s="49" t="str">
        <f aca="false">IF($P232="","",IF(ISNUMBER($E232),$E232,0)*$S232)</f>
        <v/>
      </c>
      <c r="X232" s="49" t="str">
        <f aca="false">IF($P232="","",IF(ISNUMBER($E232),$E232,0)*$U232)</f>
        <v/>
      </c>
      <c r="Y232" s="49" t="str">
        <f aca="false">IF($P232="","",IF(AND(CapAtMax="Yes",$P232="Y"),MAX(0,MIN($X232,$K232-$E232)),$X232))</f>
        <v/>
      </c>
      <c r="Z232" s="41" t="str">
        <f aca="false">IF(OR($P232="",NOT(ISNUMBER($E232))),"",$E232+$Y232)</f>
        <v/>
      </c>
      <c r="AA232" s="42" t="str">
        <f aca="false">IF(AND(ISNUMBER(Z232),ISNUMBER(J232)),IF(J232&gt;0,Z232/J232,""),"")</f>
        <v/>
      </c>
      <c r="AB232" s="46" t="str">
        <f aca="false">IF($P232="","",TRIM(IF(AND($P232="Y",ISNUMBER(K232),ISNUMBER(Z232)),IF(Z232&gt;K232,"Above range max. ",""),"")&amp;IF(AND($P232="Y",ISNUMBER($X232),ISNUMBER($Y232)),IF($X232-$Y232&gt;0.005,"Capped at range max. ",""),"")&amp;IF(AND(AND(ISNUMBER($G232),$G232&gt;=0,$G232&lt;=1),$H232=""),"Override needs a reason. ","")&amp;IF(AND(AND(ISNUMBER($G232),$G232&gt;=0,$G232&lt;=1),$P232&lt;&gt;"Y"),"Override ignored. ","")&amp;IF(AND($G232&lt;&gt;"",NOT(AND(ISNUMBER($G232),$G232&gt;=0,$G232&lt;=1))),"Override not valid, ignored. ","")&amp;IF(AND($A232&lt;&gt;"",COUNTIF($A$5:$A$254,$A232)&gt;1),"Duplicate ID. ","")))</f>
        <v/>
      </c>
    </row>
    <row r="233" customFormat="false" ht="15" hidden="false" customHeight="false" outlineLevel="0" collapsed="false">
      <c r="A233" s="18"/>
      <c r="B233" s="38"/>
      <c r="C233" s="39"/>
      <c r="D233" s="38"/>
      <c r="E233" s="19"/>
      <c r="F233" s="38"/>
      <c r="G233" s="40"/>
      <c r="H233" s="18"/>
      <c r="I233" s="41" t="str">
        <f aca="false">IF(COUNTA($A233:$F233)=0,"",IF($B233="","",IFERROR(INDEX(Ranges!$B$5:$B$16,MATCH($B233,Ranges!$A$5:$A$16,0)),"")))</f>
        <v/>
      </c>
      <c r="J233" s="41" t="str">
        <f aca="false">IF(COUNTA($A233:$F233)=0,"",IF($B233="","",IFERROR(INDEX(Ranges!$C$5:$C$16,MATCH($B233,Ranges!$A$5:$A$16,0)),"")))</f>
        <v/>
      </c>
      <c r="K233" s="41" t="str">
        <f aca="false">IF(COUNTA($A233:$F233)=0,"",IF($B233="","",IFERROR(INDEX(Ranges!$D$5:$D$16,MATCH($B233,Ranges!$A$5:$A$16,0)),"")))</f>
        <v/>
      </c>
      <c r="L233" s="42" t="str">
        <f aca="false">IF(OR(NOT(ISNUMBER($E233)),NOT(ISNUMBER(J233))),"",IF(J233&gt;0,$E233/J233,""))</f>
        <v/>
      </c>
      <c r="M233" s="43" t="str">
        <f aca="false">IF(OR(NOT(ISNUMBER($E233)),NOT(ISNUMBER(I233)),NOT(ISNUMBER(K233))),"",IF(K233&gt;I233,($E233-I233)/(K233-I233),""))</f>
        <v/>
      </c>
      <c r="N233" s="42" t="str">
        <f aca="false">IF(Basis="Compa-ratio",L233,M233)</f>
        <v/>
      </c>
      <c r="O233" s="44" t="str">
        <f aca="false">IF(ISNUMBER(N233),IFERROR(MATCH(N233,Matrix!$C$9:$G$9,1),1),"")</f>
        <v/>
      </c>
      <c r="P233" s="45" t="str">
        <f aca="false">IF(COUNTA($A233:$F233)=0,"",IF(Q233="","Y","N"))</f>
        <v/>
      </c>
      <c r="Q233" s="46" t="str">
        <f aca="false">IF(COUNTA($A233:$F233)=0,"",IF($A233="","ID missing",IF(TRIM($F233)="Exclude","Excluded by plan status",IF(AND(TRIM($F233)&lt;&gt;"",TRIM($F233)&lt;&gt;"Include"),"Plan status not valid (use Include or Exclude)",IF(NOT(ISNUMBER($C233)),"Hire date missing or not a date",IF($C233&gt;Cutoff,"Hired after cutoff",IF(NOT(ISNUMBER($E233)),"Salary missing or not a number",IF($E233&lt;=0,"Salary missing or not a number",IF(OR(NOT(ISNUMBER(I233)),NOT(ISNUMBER(J233)),NOT(ISNUMBER(K233))),"Grade not found in Ranges",IF($D233="","Rating missing",IF($D233="NR","Not rated (NR)",IF(NOT(ISNUMBER(MATCH($D233,Matrix!$A$14:$A$18,0))),"Rating not valid (use 1 to 5 or NR)",IF(NOT(ISNUMBER(O233)),"Band not found (check range and limits)","")))))))))))))</f>
        <v/>
      </c>
      <c r="R233" s="47" t="str">
        <f aca="false">IF($P233="Y",INDEX(Matrix!$C$14:$G$18,MATCH($D233,Matrix!$A$14:$A$18,0),$O233),IF($P233="N",0,""))</f>
        <v/>
      </c>
      <c r="S233" s="47" t="str">
        <f aca="false">IF($P233="Y",IF(AND(ISNUMBER($G233),$G233&gt;=0,$G233&lt;=1),$G233,$R233),IF($P233="N",0,""))</f>
        <v/>
      </c>
      <c r="T233" s="48" t="str">
        <f aca="false">IF($P233&lt;&gt;"Y",IF($P233="N",0,""),IF(ProrateMethod="None",1,IF($C233&lt;=PeriodStart,1,IF(ProrateMethod="Daily",MAX(0,MIN(1,(PeriodEnd-$C233+1)/(PeriodEnd-PeriodStart+1))),MAX(0,MIN(1,((YEAR(PeriodEnd)-YEAR($C233))*12+MONTH(PeriodEnd)-MONTH($C233)+1-IF(DAY($C233)&gt;MonthCutDay,1,0))/PeriodMonths))))))</f>
        <v/>
      </c>
      <c r="U233" s="47" t="str">
        <f aca="false">IF($P233="","",$S233*$T233)</f>
        <v/>
      </c>
      <c r="V233" s="49" t="str">
        <f aca="false">IF($P233="","",IF(ISNUMBER($E233),$E233,0)*$R233)</f>
        <v/>
      </c>
      <c r="W233" s="49" t="str">
        <f aca="false">IF($P233="","",IF(ISNUMBER($E233),$E233,0)*$S233)</f>
        <v/>
      </c>
      <c r="X233" s="49" t="str">
        <f aca="false">IF($P233="","",IF(ISNUMBER($E233),$E233,0)*$U233)</f>
        <v/>
      </c>
      <c r="Y233" s="49" t="str">
        <f aca="false">IF($P233="","",IF(AND(CapAtMax="Yes",$P233="Y"),MAX(0,MIN($X233,$K233-$E233)),$X233))</f>
        <v/>
      </c>
      <c r="Z233" s="41" t="str">
        <f aca="false">IF(OR($P233="",NOT(ISNUMBER($E233))),"",$E233+$Y233)</f>
        <v/>
      </c>
      <c r="AA233" s="42" t="str">
        <f aca="false">IF(AND(ISNUMBER(Z233),ISNUMBER(J233)),IF(J233&gt;0,Z233/J233,""),"")</f>
        <v/>
      </c>
      <c r="AB233" s="46" t="str">
        <f aca="false">IF($P233="","",TRIM(IF(AND($P233="Y",ISNUMBER(K233),ISNUMBER(Z233)),IF(Z233&gt;K233,"Above range max. ",""),"")&amp;IF(AND($P233="Y",ISNUMBER($X233),ISNUMBER($Y233)),IF($X233-$Y233&gt;0.005,"Capped at range max. ",""),"")&amp;IF(AND(AND(ISNUMBER($G233),$G233&gt;=0,$G233&lt;=1),$H233=""),"Override needs a reason. ","")&amp;IF(AND(AND(ISNUMBER($G233),$G233&gt;=0,$G233&lt;=1),$P233&lt;&gt;"Y"),"Override ignored. ","")&amp;IF(AND($G233&lt;&gt;"",NOT(AND(ISNUMBER($G233),$G233&gt;=0,$G233&lt;=1))),"Override not valid, ignored. ","")&amp;IF(AND($A233&lt;&gt;"",COUNTIF($A$5:$A$254,$A233)&gt;1),"Duplicate ID. ","")))</f>
        <v/>
      </c>
    </row>
    <row r="234" customFormat="false" ht="15" hidden="false" customHeight="false" outlineLevel="0" collapsed="false">
      <c r="A234" s="18"/>
      <c r="B234" s="38"/>
      <c r="C234" s="39"/>
      <c r="D234" s="38"/>
      <c r="E234" s="19"/>
      <c r="F234" s="38"/>
      <c r="G234" s="40"/>
      <c r="H234" s="18"/>
      <c r="I234" s="41" t="str">
        <f aca="false">IF(COUNTA($A234:$F234)=0,"",IF($B234="","",IFERROR(INDEX(Ranges!$B$5:$B$16,MATCH($B234,Ranges!$A$5:$A$16,0)),"")))</f>
        <v/>
      </c>
      <c r="J234" s="41" t="str">
        <f aca="false">IF(COUNTA($A234:$F234)=0,"",IF($B234="","",IFERROR(INDEX(Ranges!$C$5:$C$16,MATCH($B234,Ranges!$A$5:$A$16,0)),"")))</f>
        <v/>
      </c>
      <c r="K234" s="41" t="str">
        <f aca="false">IF(COUNTA($A234:$F234)=0,"",IF($B234="","",IFERROR(INDEX(Ranges!$D$5:$D$16,MATCH($B234,Ranges!$A$5:$A$16,0)),"")))</f>
        <v/>
      </c>
      <c r="L234" s="42" t="str">
        <f aca="false">IF(OR(NOT(ISNUMBER($E234)),NOT(ISNUMBER(J234))),"",IF(J234&gt;0,$E234/J234,""))</f>
        <v/>
      </c>
      <c r="M234" s="43" t="str">
        <f aca="false">IF(OR(NOT(ISNUMBER($E234)),NOT(ISNUMBER(I234)),NOT(ISNUMBER(K234))),"",IF(K234&gt;I234,($E234-I234)/(K234-I234),""))</f>
        <v/>
      </c>
      <c r="N234" s="42" t="str">
        <f aca="false">IF(Basis="Compa-ratio",L234,M234)</f>
        <v/>
      </c>
      <c r="O234" s="44" t="str">
        <f aca="false">IF(ISNUMBER(N234),IFERROR(MATCH(N234,Matrix!$C$9:$G$9,1),1),"")</f>
        <v/>
      </c>
      <c r="P234" s="45" t="str">
        <f aca="false">IF(COUNTA($A234:$F234)=0,"",IF(Q234="","Y","N"))</f>
        <v/>
      </c>
      <c r="Q234" s="46" t="str">
        <f aca="false">IF(COUNTA($A234:$F234)=0,"",IF($A234="","ID missing",IF(TRIM($F234)="Exclude","Excluded by plan status",IF(AND(TRIM($F234)&lt;&gt;"",TRIM($F234)&lt;&gt;"Include"),"Plan status not valid (use Include or Exclude)",IF(NOT(ISNUMBER($C234)),"Hire date missing or not a date",IF($C234&gt;Cutoff,"Hired after cutoff",IF(NOT(ISNUMBER($E234)),"Salary missing or not a number",IF($E234&lt;=0,"Salary missing or not a number",IF(OR(NOT(ISNUMBER(I234)),NOT(ISNUMBER(J234)),NOT(ISNUMBER(K234))),"Grade not found in Ranges",IF($D234="","Rating missing",IF($D234="NR","Not rated (NR)",IF(NOT(ISNUMBER(MATCH($D234,Matrix!$A$14:$A$18,0))),"Rating not valid (use 1 to 5 or NR)",IF(NOT(ISNUMBER(O234)),"Band not found (check range and limits)","")))))))))))))</f>
        <v/>
      </c>
      <c r="R234" s="47" t="str">
        <f aca="false">IF($P234="Y",INDEX(Matrix!$C$14:$G$18,MATCH($D234,Matrix!$A$14:$A$18,0),$O234),IF($P234="N",0,""))</f>
        <v/>
      </c>
      <c r="S234" s="47" t="str">
        <f aca="false">IF($P234="Y",IF(AND(ISNUMBER($G234),$G234&gt;=0,$G234&lt;=1),$G234,$R234),IF($P234="N",0,""))</f>
        <v/>
      </c>
      <c r="T234" s="48" t="str">
        <f aca="false">IF($P234&lt;&gt;"Y",IF($P234="N",0,""),IF(ProrateMethod="None",1,IF($C234&lt;=PeriodStart,1,IF(ProrateMethod="Daily",MAX(0,MIN(1,(PeriodEnd-$C234+1)/(PeriodEnd-PeriodStart+1))),MAX(0,MIN(1,((YEAR(PeriodEnd)-YEAR($C234))*12+MONTH(PeriodEnd)-MONTH($C234)+1-IF(DAY($C234)&gt;MonthCutDay,1,0))/PeriodMonths))))))</f>
        <v/>
      </c>
      <c r="U234" s="47" t="str">
        <f aca="false">IF($P234="","",$S234*$T234)</f>
        <v/>
      </c>
      <c r="V234" s="49" t="str">
        <f aca="false">IF($P234="","",IF(ISNUMBER($E234),$E234,0)*$R234)</f>
        <v/>
      </c>
      <c r="W234" s="49" t="str">
        <f aca="false">IF($P234="","",IF(ISNUMBER($E234),$E234,0)*$S234)</f>
        <v/>
      </c>
      <c r="X234" s="49" t="str">
        <f aca="false">IF($P234="","",IF(ISNUMBER($E234),$E234,0)*$U234)</f>
        <v/>
      </c>
      <c r="Y234" s="49" t="str">
        <f aca="false">IF($P234="","",IF(AND(CapAtMax="Yes",$P234="Y"),MAX(0,MIN($X234,$K234-$E234)),$X234))</f>
        <v/>
      </c>
      <c r="Z234" s="41" t="str">
        <f aca="false">IF(OR($P234="",NOT(ISNUMBER($E234))),"",$E234+$Y234)</f>
        <v/>
      </c>
      <c r="AA234" s="42" t="str">
        <f aca="false">IF(AND(ISNUMBER(Z234),ISNUMBER(J234)),IF(J234&gt;0,Z234/J234,""),"")</f>
        <v/>
      </c>
      <c r="AB234" s="46" t="str">
        <f aca="false">IF($P234="","",TRIM(IF(AND($P234="Y",ISNUMBER(K234),ISNUMBER(Z234)),IF(Z234&gt;K234,"Above range max. ",""),"")&amp;IF(AND($P234="Y",ISNUMBER($X234),ISNUMBER($Y234)),IF($X234-$Y234&gt;0.005,"Capped at range max. ",""),"")&amp;IF(AND(AND(ISNUMBER($G234),$G234&gt;=0,$G234&lt;=1),$H234=""),"Override needs a reason. ","")&amp;IF(AND(AND(ISNUMBER($G234),$G234&gt;=0,$G234&lt;=1),$P234&lt;&gt;"Y"),"Override ignored. ","")&amp;IF(AND($G234&lt;&gt;"",NOT(AND(ISNUMBER($G234),$G234&gt;=0,$G234&lt;=1))),"Override not valid, ignored. ","")&amp;IF(AND($A234&lt;&gt;"",COUNTIF($A$5:$A$254,$A234)&gt;1),"Duplicate ID. ","")))</f>
        <v/>
      </c>
    </row>
    <row r="235" customFormat="false" ht="15" hidden="false" customHeight="false" outlineLevel="0" collapsed="false">
      <c r="A235" s="18"/>
      <c r="B235" s="38"/>
      <c r="C235" s="39"/>
      <c r="D235" s="38"/>
      <c r="E235" s="19"/>
      <c r="F235" s="38"/>
      <c r="G235" s="40"/>
      <c r="H235" s="18"/>
      <c r="I235" s="41" t="str">
        <f aca="false">IF(COUNTA($A235:$F235)=0,"",IF($B235="","",IFERROR(INDEX(Ranges!$B$5:$B$16,MATCH($B235,Ranges!$A$5:$A$16,0)),"")))</f>
        <v/>
      </c>
      <c r="J235" s="41" t="str">
        <f aca="false">IF(COUNTA($A235:$F235)=0,"",IF($B235="","",IFERROR(INDEX(Ranges!$C$5:$C$16,MATCH($B235,Ranges!$A$5:$A$16,0)),"")))</f>
        <v/>
      </c>
      <c r="K235" s="41" t="str">
        <f aca="false">IF(COUNTA($A235:$F235)=0,"",IF($B235="","",IFERROR(INDEX(Ranges!$D$5:$D$16,MATCH($B235,Ranges!$A$5:$A$16,0)),"")))</f>
        <v/>
      </c>
      <c r="L235" s="42" t="str">
        <f aca="false">IF(OR(NOT(ISNUMBER($E235)),NOT(ISNUMBER(J235))),"",IF(J235&gt;0,$E235/J235,""))</f>
        <v/>
      </c>
      <c r="M235" s="43" t="str">
        <f aca="false">IF(OR(NOT(ISNUMBER($E235)),NOT(ISNUMBER(I235)),NOT(ISNUMBER(K235))),"",IF(K235&gt;I235,($E235-I235)/(K235-I235),""))</f>
        <v/>
      </c>
      <c r="N235" s="42" t="str">
        <f aca="false">IF(Basis="Compa-ratio",L235,M235)</f>
        <v/>
      </c>
      <c r="O235" s="44" t="str">
        <f aca="false">IF(ISNUMBER(N235),IFERROR(MATCH(N235,Matrix!$C$9:$G$9,1),1),"")</f>
        <v/>
      </c>
      <c r="P235" s="45" t="str">
        <f aca="false">IF(COUNTA($A235:$F235)=0,"",IF(Q235="","Y","N"))</f>
        <v/>
      </c>
      <c r="Q235" s="46" t="str">
        <f aca="false">IF(COUNTA($A235:$F235)=0,"",IF($A235="","ID missing",IF(TRIM($F235)="Exclude","Excluded by plan status",IF(AND(TRIM($F235)&lt;&gt;"",TRIM($F235)&lt;&gt;"Include"),"Plan status not valid (use Include or Exclude)",IF(NOT(ISNUMBER($C235)),"Hire date missing or not a date",IF($C235&gt;Cutoff,"Hired after cutoff",IF(NOT(ISNUMBER($E235)),"Salary missing or not a number",IF($E235&lt;=0,"Salary missing or not a number",IF(OR(NOT(ISNUMBER(I235)),NOT(ISNUMBER(J235)),NOT(ISNUMBER(K235))),"Grade not found in Ranges",IF($D235="","Rating missing",IF($D235="NR","Not rated (NR)",IF(NOT(ISNUMBER(MATCH($D235,Matrix!$A$14:$A$18,0))),"Rating not valid (use 1 to 5 or NR)",IF(NOT(ISNUMBER(O235)),"Band not found (check range and limits)","")))))))))))))</f>
        <v/>
      </c>
      <c r="R235" s="47" t="str">
        <f aca="false">IF($P235="Y",INDEX(Matrix!$C$14:$G$18,MATCH($D235,Matrix!$A$14:$A$18,0),$O235),IF($P235="N",0,""))</f>
        <v/>
      </c>
      <c r="S235" s="47" t="str">
        <f aca="false">IF($P235="Y",IF(AND(ISNUMBER($G235),$G235&gt;=0,$G235&lt;=1),$G235,$R235),IF($P235="N",0,""))</f>
        <v/>
      </c>
      <c r="T235" s="48" t="str">
        <f aca="false">IF($P235&lt;&gt;"Y",IF($P235="N",0,""),IF(ProrateMethod="None",1,IF($C235&lt;=PeriodStart,1,IF(ProrateMethod="Daily",MAX(0,MIN(1,(PeriodEnd-$C235+1)/(PeriodEnd-PeriodStart+1))),MAX(0,MIN(1,((YEAR(PeriodEnd)-YEAR($C235))*12+MONTH(PeriodEnd)-MONTH($C235)+1-IF(DAY($C235)&gt;MonthCutDay,1,0))/PeriodMonths))))))</f>
        <v/>
      </c>
      <c r="U235" s="47" t="str">
        <f aca="false">IF($P235="","",$S235*$T235)</f>
        <v/>
      </c>
      <c r="V235" s="49" t="str">
        <f aca="false">IF($P235="","",IF(ISNUMBER($E235),$E235,0)*$R235)</f>
        <v/>
      </c>
      <c r="W235" s="49" t="str">
        <f aca="false">IF($P235="","",IF(ISNUMBER($E235),$E235,0)*$S235)</f>
        <v/>
      </c>
      <c r="X235" s="49" t="str">
        <f aca="false">IF($P235="","",IF(ISNUMBER($E235),$E235,0)*$U235)</f>
        <v/>
      </c>
      <c r="Y235" s="49" t="str">
        <f aca="false">IF($P235="","",IF(AND(CapAtMax="Yes",$P235="Y"),MAX(0,MIN($X235,$K235-$E235)),$X235))</f>
        <v/>
      </c>
      <c r="Z235" s="41" t="str">
        <f aca="false">IF(OR($P235="",NOT(ISNUMBER($E235))),"",$E235+$Y235)</f>
        <v/>
      </c>
      <c r="AA235" s="42" t="str">
        <f aca="false">IF(AND(ISNUMBER(Z235),ISNUMBER(J235)),IF(J235&gt;0,Z235/J235,""),"")</f>
        <v/>
      </c>
      <c r="AB235" s="46" t="str">
        <f aca="false">IF($P235="","",TRIM(IF(AND($P235="Y",ISNUMBER(K235),ISNUMBER(Z235)),IF(Z235&gt;K235,"Above range max. ",""),"")&amp;IF(AND($P235="Y",ISNUMBER($X235),ISNUMBER($Y235)),IF($X235-$Y235&gt;0.005,"Capped at range max. ",""),"")&amp;IF(AND(AND(ISNUMBER($G235),$G235&gt;=0,$G235&lt;=1),$H235=""),"Override needs a reason. ","")&amp;IF(AND(AND(ISNUMBER($G235),$G235&gt;=0,$G235&lt;=1),$P235&lt;&gt;"Y"),"Override ignored. ","")&amp;IF(AND($G235&lt;&gt;"",NOT(AND(ISNUMBER($G235),$G235&gt;=0,$G235&lt;=1))),"Override not valid, ignored. ","")&amp;IF(AND($A235&lt;&gt;"",COUNTIF($A$5:$A$254,$A235)&gt;1),"Duplicate ID. ","")))</f>
        <v/>
      </c>
    </row>
    <row r="236" customFormat="false" ht="15" hidden="false" customHeight="false" outlineLevel="0" collapsed="false">
      <c r="A236" s="18"/>
      <c r="B236" s="38"/>
      <c r="C236" s="39"/>
      <c r="D236" s="38"/>
      <c r="E236" s="19"/>
      <c r="F236" s="38"/>
      <c r="G236" s="40"/>
      <c r="H236" s="18"/>
      <c r="I236" s="41" t="str">
        <f aca="false">IF(COUNTA($A236:$F236)=0,"",IF($B236="","",IFERROR(INDEX(Ranges!$B$5:$B$16,MATCH($B236,Ranges!$A$5:$A$16,0)),"")))</f>
        <v/>
      </c>
      <c r="J236" s="41" t="str">
        <f aca="false">IF(COUNTA($A236:$F236)=0,"",IF($B236="","",IFERROR(INDEX(Ranges!$C$5:$C$16,MATCH($B236,Ranges!$A$5:$A$16,0)),"")))</f>
        <v/>
      </c>
      <c r="K236" s="41" t="str">
        <f aca="false">IF(COUNTA($A236:$F236)=0,"",IF($B236="","",IFERROR(INDEX(Ranges!$D$5:$D$16,MATCH($B236,Ranges!$A$5:$A$16,0)),"")))</f>
        <v/>
      </c>
      <c r="L236" s="42" t="str">
        <f aca="false">IF(OR(NOT(ISNUMBER($E236)),NOT(ISNUMBER(J236))),"",IF(J236&gt;0,$E236/J236,""))</f>
        <v/>
      </c>
      <c r="M236" s="43" t="str">
        <f aca="false">IF(OR(NOT(ISNUMBER($E236)),NOT(ISNUMBER(I236)),NOT(ISNUMBER(K236))),"",IF(K236&gt;I236,($E236-I236)/(K236-I236),""))</f>
        <v/>
      </c>
      <c r="N236" s="42" t="str">
        <f aca="false">IF(Basis="Compa-ratio",L236,M236)</f>
        <v/>
      </c>
      <c r="O236" s="44" t="str">
        <f aca="false">IF(ISNUMBER(N236),IFERROR(MATCH(N236,Matrix!$C$9:$G$9,1),1),"")</f>
        <v/>
      </c>
      <c r="P236" s="45" t="str">
        <f aca="false">IF(COUNTA($A236:$F236)=0,"",IF(Q236="","Y","N"))</f>
        <v/>
      </c>
      <c r="Q236" s="46" t="str">
        <f aca="false">IF(COUNTA($A236:$F236)=0,"",IF($A236="","ID missing",IF(TRIM($F236)="Exclude","Excluded by plan status",IF(AND(TRIM($F236)&lt;&gt;"",TRIM($F236)&lt;&gt;"Include"),"Plan status not valid (use Include or Exclude)",IF(NOT(ISNUMBER($C236)),"Hire date missing or not a date",IF($C236&gt;Cutoff,"Hired after cutoff",IF(NOT(ISNUMBER($E236)),"Salary missing or not a number",IF($E236&lt;=0,"Salary missing or not a number",IF(OR(NOT(ISNUMBER(I236)),NOT(ISNUMBER(J236)),NOT(ISNUMBER(K236))),"Grade not found in Ranges",IF($D236="","Rating missing",IF($D236="NR","Not rated (NR)",IF(NOT(ISNUMBER(MATCH($D236,Matrix!$A$14:$A$18,0))),"Rating not valid (use 1 to 5 or NR)",IF(NOT(ISNUMBER(O236)),"Band not found (check range and limits)","")))))))))))))</f>
        <v/>
      </c>
      <c r="R236" s="47" t="str">
        <f aca="false">IF($P236="Y",INDEX(Matrix!$C$14:$G$18,MATCH($D236,Matrix!$A$14:$A$18,0),$O236),IF($P236="N",0,""))</f>
        <v/>
      </c>
      <c r="S236" s="47" t="str">
        <f aca="false">IF($P236="Y",IF(AND(ISNUMBER($G236),$G236&gt;=0,$G236&lt;=1),$G236,$R236),IF($P236="N",0,""))</f>
        <v/>
      </c>
      <c r="T236" s="48" t="str">
        <f aca="false">IF($P236&lt;&gt;"Y",IF($P236="N",0,""),IF(ProrateMethod="None",1,IF($C236&lt;=PeriodStart,1,IF(ProrateMethod="Daily",MAX(0,MIN(1,(PeriodEnd-$C236+1)/(PeriodEnd-PeriodStart+1))),MAX(0,MIN(1,((YEAR(PeriodEnd)-YEAR($C236))*12+MONTH(PeriodEnd)-MONTH($C236)+1-IF(DAY($C236)&gt;MonthCutDay,1,0))/PeriodMonths))))))</f>
        <v/>
      </c>
      <c r="U236" s="47" t="str">
        <f aca="false">IF($P236="","",$S236*$T236)</f>
        <v/>
      </c>
      <c r="V236" s="49" t="str">
        <f aca="false">IF($P236="","",IF(ISNUMBER($E236),$E236,0)*$R236)</f>
        <v/>
      </c>
      <c r="W236" s="49" t="str">
        <f aca="false">IF($P236="","",IF(ISNUMBER($E236),$E236,0)*$S236)</f>
        <v/>
      </c>
      <c r="X236" s="49" t="str">
        <f aca="false">IF($P236="","",IF(ISNUMBER($E236),$E236,0)*$U236)</f>
        <v/>
      </c>
      <c r="Y236" s="49" t="str">
        <f aca="false">IF($P236="","",IF(AND(CapAtMax="Yes",$P236="Y"),MAX(0,MIN($X236,$K236-$E236)),$X236))</f>
        <v/>
      </c>
      <c r="Z236" s="41" t="str">
        <f aca="false">IF(OR($P236="",NOT(ISNUMBER($E236))),"",$E236+$Y236)</f>
        <v/>
      </c>
      <c r="AA236" s="42" t="str">
        <f aca="false">IF(AND(ISNUMBER(Z236),ISNUMBER(J236)),IF(J236&gt;0,Z236/J236,""),"")</f>
        <v/>
      </c>
      <c r="AB236" s="46" t="str">
        <f aca="false">IF($P236="","",TRIM(IF(AND($P236="Y",ISNUMBER(K236),ISNUMBER(Z236)),IF(Z236&gt;K236,"Above range max. ",""),"")&amp;IF(AND($P236="Y",ISNUMBER($X236),ISNUMBER($Y236)),IF($X236-$Y236&gt;0.005,"Capped at range max. ",""),"")&amp;IF(AND(AND(ISNUMBER($G236),$G236&gt;=0,$G236&lt;=1),$H236=""),"Override needs a reason. ","")&amp;IF(AND(AND(ISNUMBER($G236),$G236&gt;=0,$G236&lt;=1),$P236&lt;&gt;"Y"),"Override ignored. ","")&amp;IF(AND($G236&lt;&gt;"",NOT(AND(ISNUMBER($G236),$G236&gt;=0,$G236&lt;=1))),"Override not valid, ignored. ","")&amp;IF(AND($A236&lt;&gt;"",COUNTIF($A$5:$A$254,$A236)&gt;1),"Duplicate ID. ","")))</f>
        <v/>
      </c>
    </row>
    <row r="237" customFormat="false" ht="15" hidden="false" customHeight="false" outlineLevel="0" collapsed="false">
      <c r="A237" s="18"/>
      <c r="B237" s="38"/>
      <c r="C237" s="39"/>
      <c r="D237" s="38"/>
      <c r="E237" s="19"/>
      <c r="F237" s="38"/>
      <c r="G237" s="40"/>
      <c r="H237" s="18"/>
      <c r="I237" s="41" t="str">
        <f aca="false">IF(COUNTA($A237:$F237)=0,"",IF($B237="","",IFERROR(INDEX(Ranges!$B$5:$B$16,MATCH($B237,Ranges!$A$5:$A$16,0)),"")))</f>
        <v/>
      </c>
      <c r="J237" s="41" t="str">
        <f aca="false">IF(COUNTA($A237:$F237)=0,"",IF($B237="","",IFERROR(INDEX(Ranges!$C$5:$C$16,MATCH($B237,Ranges!$A$5:$A$16,0)),"")))</f>
        <v/>
      </c>
      <c r="K237" s="41" t="str">
        <f aca="false">IF(COUNTA($A237:$F237)=0,"",IF($B237="","",IFERROR(INDEX(Ranges!$D$5:$D$16,MATCH($B237,Ranges!$A$5:$A$16,0)),"")))</f>
        <v/>
      </c>
      <c r="L237" s="42" t="str">
        <f aca="false">IF(OR(NOT(ISNUMBER($E237)),NOT(ISNUMBER(J237))),"",IF(J237&gt;0,$E237/J237,""))</f>
        <v/>
      </c>
      <c r="M237" s="43" t="str">
        <f aca="false">IF(OR(NOT(ISNUMBER($E237)),NOT(ISNUMBER(I237)),NOT(ISNUMBER(K237))),"",IF(K237&gt;I237,($E237-I237)/(K237-I237),""))</f>
        <v/>
      </c>
      <c r="N237" s="42" t="str">
        <f aca="false">IF(Basis="Compa-ratio",L237,M237)</f>
        <v/>
      </c>
      <c r="O237" s="44" t="str">
        <f aca="false">IF(ISNUMBER(N237),IFERROR(MATCH(N237,Matrix!$C$9:$G$9,1),1),"")</f>
        <v/>
      </c>
      <c r="P237" s="45" t="str">
        <f aca="false">IF(COUNTA($A237:$F237)=0,"",IF(Q237="","Y","N"))</f>
        <v/>
      </c>
      <c r="Q237" s="46" t="str">
        <f aca="false">IF(COUNTA($A237:$F237)=0,"",IF($A237="","ID missing",IF(TRIM($F237)="Exclude","Excluded by plan status",IF(AND(TRIM($F237)&lt;&gt;"",TRIM($F237)&lt;&gt;"Include"),"Plan status not valid (use Include or Exclude)",IF(NOT(ISNUMBER($C237)),"Hire date missing or not a date",IF($C237&gt;Cutoff,"Hired after cutoff",IF(NOT(ISNUMBER($E237)),"Salary missing or not a number",IF($E237&lt;=0,"Salary missing or not a number",IF(OR(NOT(ISNUMBER(I237)),NOT(ISNUMBER(J237)),NOT(ISNUMBER(K237))),"Grade not found in Ranges",IF($D237="","Rating missing",IF($D237="NR","Not rated (NR)",IF(NOT(ISNUMBER(MATCH($D237,Matrix!$A$14:$A$18,0))),"Rating not valid (use 1 to 5 or NR)",IF(NOT(ISNUMBER(O237)),"Band not found (check range and limits)","")))))))))))))</f>
        <v/>
      </c>
      <c r="R237" s="47" t="str">
        <f aca="false">IF($P237="Y",INDEX(Matrix!$C$14:$G$18,MATCH($D237,Matrix!$A$14:$A$18,0),$O237),IF($P237="N",0,""))</f>
        <v/>
      </c>
      <c r="S237" s="47" t="str">
        <f aca="false">IF($P237="Y",IF(AND(ISNUMBER($G237),$G237&gt;=0,$G237&lt;=1),$G237,$R237),IF($P237="N",0,""))</f>
        <v/>
      </c>
      <c r="T237" s="48" t="str">
        <f aca="false">IF($P237&lt;&gt;"Y",IF($P237="N",0,""),IF(ProrateMethod="None",1,IF($C237&lt;=PeriodStart,1,IF(ProrateMethod="Daily",MAX(0,MIN(1,(PeriodEnd-$C237+1)/(PeriodEnd-PeriodStart+1))),MAX(0,MIN(1,((YEAR(PeriodEnd)-YEAR($C237))*12+MONTH(PeriodEnd)-MONTH($C237)+1-IF(DAY($C237)&gt;MonthCutDay,1,0))/PeriodMonths))))))</f>
        <v/>
      </c>
      <c r="U237" s="47" t="str">
        <f aca="false">IF($P237="","",$S237*$T237)</f>
        <v/>
      </c>
      <c r="V237" s="49" t="str">
        <f aca="false">IF($P237="","",IF(ISNUMBER($E237),$E237,0)*$R237)</f>
        <v/>
      </c>
      <c r="W237" s="49" t="str">
        <f aca="false">IF($P237="","",IF(ISNUMBER($E237),$E237,0)*$S237)</f>
        <v/>
      </c>
      <c r="X237" s="49" t="str">
        <f aca="false">IF($P237="","",IF(ISNUMBER($E237),$E237,0)*$U237)</f>
        <v/>
      </c>
      <c r="Y237" s="49" t="str">
        <f aca="false">IF($P237="","",IF(AND(CapAtMax="Yes",$P237="Y"),MAX(0,MIN($X237,$K237-$E237)),$X237))</f>
        <v/>
      </c>
      <c r="Z237" s="41" t="str">
        <f aca="false">IF(OR($P237="",NOT(ISNUMBER($E237))),"",$E237+$Y237)</f>
        <v/>
      </c>
      <c r="AA237" s="42" t="str">
        <f aca="false">IF(AND(ISNUMBER(Z237),ISNUMBER(J237)),IF(J237&gt;0,Z237/J237,""),"")</f>
        <v/>
      </c>
      <c r="AB237" s="46" t="str">
        <f aca="false">IF($P237="","",TRIM(IF(AND($P237="Y",ISNUMBER(K237),ISNUMBER(Z237)),IF(Z237&gt;K237,"Above range max. ",""),"")&amp;IF(AND($P237="Y",ISNUMBER($X237),ISNUMBER($Y237)),IF($X237-$Y237&gt;0.005,"Capped at range max. ",""),"")&amp;IF(AND(AND(ISNUMBER($G237),$G237&gt;=0,$G237&lt;=1),$H237=""),"Override needs a reason. ","")&amp;IF(AND(AND(ISNUMBER($G237),$G237&gt;=0,$G237&lt;=1),$P237&lt;&gt;"Y"),"Override ignored. ","")&amp;IF(AND($G237&lt;&gt;"",NOT(AND(ISNUMBER($G237),$G237&gt;=0,$G237&lt;=1))),"Override not valid, ignored. ","")&amp;IF(AND($A237&lt;&gt;"",COUNTIF($A$5:$A$254,$A237)&gt;1),"Duplicate ID. ","")))</f>
        <v/>
      </c>
    </row>
    <row r="238" customFormat="false" ht="15" hidden="false" customHeight="false" outlineLevel="0" collapsed="false">
      <c r="A238" s="18"/>
      <c r="B238" s="38"/>
      <c r="C238" s="39"/>
      <c r="D238" s="38"/>
      <c r="E238" s="19"/>
      <c r="F238" s="38"/>
      <c r="G238" s="40"/>
      <c r="H238" s="18"/>
      <c r="I238" s="41" t="str">
        <f aca="false">IF(COUNTA($A238:$F238)=0,"",IF($B238="","",IFERROR(INDEX(Ranges!$B$5:$B$16,MATCH($B238,Ranges!$A$5:$A$16,0)),"")))</f>
        <v/>
      </c>
      <c r="J238" s="41" t="str">
        <f aca="false">IF(COUNTA($A238:$F238)=0,"",IF($B238="","",IFERROR(INDEX(Ranges!$C$5:$C$16,MATCH($B238,Ranges!$A$5:$A$16,0)),"")))</f>
        <v/>
      </c>
      <c r="K238" s="41" t="str">
        <f aca="false">IF(COUNTA($A238:$F238)=0,"",IF($B238="","",IFERROR(INDEX(Ranges!$D$5:$D$16,MATCH($B238,Ranges!$A$5:$A$16,0)),"")))</f>
        <v/>
      </c>
      <c r="L238" s="42" t="str">
        <f aca="false">IF(OR(NOT(ISNUMBER($E238)),NOT(ISNUMBER(J238))),"",IF(J238&gt;0,$E238/J238,""))</f>
        <v/>
      </c>
      <c r="M238" s="43" t="str">
        <f aca="false">IF(OR(NOT(ISNUMBER($E238)),NOT(ISNUMBER(I238)),NOT(ISNUMBER(K238))),"",IF(K238&gt;I238,($E238-I238)/(K238-I238),""))</f>
        <v/>
      </c>
      <c r="N238" s="42" t="str">
        <f aca="false">IF(Basis="Compa-ratio",L238,M238)</f>
        <v/>
      </c>
      <c r="O238" s="44" t="str">
        <f aca="false">IF(ISNUMBER(N238),IFERROR(MATCH(N238,Matrix!$C$9:$G$9,1),1),"")</f>
        <v/>
      </c>
      <c r="P238" s="45" t="str">
        <f aca="false">IF(COUNTA($A238:$F238)=0,"",IF(Q238="","Y","N"))</f>
        <v/>
      </c>
      <c r="Q238" s="46" t="str">
        <f aca="false">IF(COUNTA($A238:$F238)=0,"",IF($A238="","ID missing",IF(TRIM($F238)="Exclude","Excluded by plan status",IF(AND(TRIM($F238)&lt;&gt;"",TRIM($F238)&lt;&gt;"Include"),"Plan status not valid (use Include or Exclude)",IF(NOT(ISNUMBER($C238)),"Hire date missing or not a date",IF($C238&gt;Cutoff,"Hired after cutoff",IF(NOT(ISNUMBER($E238)),"Salary missing or not a number",IF($E238&lt;=0,"Salary missing or not a number",IF(OR(NOT(ISNUMBER(I238)),NOT(ISNUMBER(J238)),NOT(ISNUMBER(K238))),"Grade not found in Ranges",IF($D238="","Rating missing",IF($D238="NR","Not rated (NR)",IF(NOT(ISNUMBER(MATCH($D238,Matrix!$A$14:$A$18,0))),"Rating not valid (use 1 to 5 or NR)",IF(NOT(ISNUMBER(O238)),"Band not found (check range and limits)","")))))))))))))</f>
        <v/>
      </c>
      <c r="R238" s="47" t="str">
        <f aca="false">IF($P238="Y",INDEX(Matrix!$C$14:$G$18,MATCH($D238,Matrix!$A$14:$A$18,0),$O238),IF($P238="N",0,""))</f>
        <v/>
      </c>
      <c r="S238" s="47" t="str">
        <f aca="false">IF($P238="Y",IF(AND(ISNUMBER($G238),$G238&gt;=0,$G238&lt;=1),$G238,$R238),IF($P238="N",0,""))</f>
        <v/>
      </c>
      <c r="T238" s="48" t="str">
        <f aca="false">IF($P238&lt;&gt;"Y",IF($P238="N",0,""),IF(ProrateMethod="None",1,IF($C238&lt;=PeriodStart,1,IF(ProrateMethod="Daily",MAX(0,MIN(1,(PeriodEnd-$C238+1)/(PeriodEnd-PeriodStart+1))),MAX(0,MIN(1,((YEAR(PeriodEnd)-YEAR($C238))*12+MONTH(PeriodEnd)-MONTH($C238)+1-IF(DAY($C238)&gt;MonthCutDay,1,0))/PeriodMonths))))))</f>
        <v/>
      </c>
      <c r="U238" s="47" t="str">
        <f aca="false">IF($P238="","",$S238*$T238)</f>
        <v/>
      </c>
      <c r="V238" s="49" t="str">
        <f aca="false">IF($P238="","",IF(ISNUMBER($E238),$E238,0)*$R238)</f>
        <v/>
      </c>
      <c r="W238" s="49" t="str">
        <f aca="false">IF($P238="","",IF(ISNUMBER($E238),$E238,0)*$S238)</f>
        <v/>
      </c>
      <c r="X238" s="49" t="str">
        <f aca="false">IF($P238="","",IF(ISNUMBER($E238),$E238,0)*$U238)</f>
        <v/>
      </c>
      <c r="Y238" s="49" t="str">
        <f aca="false">IF($P238="","",IF(AND(CapAtMax="Yes",$P238="Y"),MAX(0,MIN($X238,$K238-$E238)),$X238))</f>
        <v/>
      </c>
      <c r="Z238" s="41" t="str">
        <f aca="false">IF(OR($P238="",NOT(ISNUMBER($E238))),"",$E238+$Y238)</f>
        <v/>
      </c>
      <c r="AA238" s="42" t="str">
        <f aca="false">IF(AND(ISNUMBER(Z238),ISNUMBER(J238)),IF(J238&gt;0,Z238/J238,""),"")</f>
        <v/>
      </c>
      <c r="AB238" s="46" t="str">
        <f aca="false">IF($P238="","",TRIM(IF(AND($P238="Y",ISNUMBER(K238),ISNUMBER(Z238)),IF(Z238&gt;K238,"Above range max. ",""),"")&amp;IF(AND($P238="Y",ISNUMBER($X238),ISNUMBER($Y238)),IF($X238-$Y238&gt;0.005,"Capped at range max. ",""),"")&amp;IF(AND(AND(ISNUMBER($G238),$G238&gt;=0,$G238&lt;=1),$H238=""),"Override needs a reason. ","")&amp;IF(AND(AND(ISNUMBER($G238),$G238&gt;=0,$G238&lt;=1),$P238&lt;&gt;"Y"),"Override ignored. ","")&amp;IF(AND($G238&lt;&gt;"",NOT(AND(ISNUMBER($G238),$G238&gt;=0,$G238&lt;=1))),"Override not valid, ignored. ","")&amp;IF(AND($A238&lt;&gt;"",COUNTIF($A$5:$A$254,$A238)&gt;1),"Duplicate ID. ","")))</f>
        <v/>
      </c>
    </row>
    <row r="239" customFormat="false" ht="15" hidden="false" customHeight="false" outlineLevel="0" collapsed="false">
      <c r="A239" s="18"/>
      <c r="B239" s="38"/>
      <c r="C239" s="39"/>
      <c r="D239" s="38"/>
      <c r="E239" s="19"/>
      <c r="F239" s="38"/>
      <c r="G239" s="40"/>
      <c r="H239" s="18"/>
      <c r="I239" s="41" t="str">
        <f aca="false">IF(COUNTA($A239:$F239)=0,"",IF($B239="","",IFERROR(INDEX(Ranges!$B$5:$B$16,MATCH($B239,Ranges!$A$5:$A$16,0)),"")))</f>
        <v/>
      </c>
      <c r="J239" s="41" t="str">
        <f aca="false">IF(COUNTA($A239:$F239)=0,"",IF($B239="","",IFERROR(INDEX(Ranges!$C$5:$C$16,MATCH($B239,Ranges!$A$5:$A$16,0)),"")))</f>
        <v/>
      </c>
      <c r="K239" s="41" t="str">
        <f aca="false">IF(COUNTA($A239:$F239)=0,"",IF($B239="","",IFERROR(INDEX(Ranges!$D$5:$D$16,MATCH($B239,Ranges!$A$5:$A$16,0)),"")))</f>
        <v/>
      </c>
      <c r="L239" s="42" t="str">
        <f aca="false">IF(OR(NOT(ISNUMBER($E239)),NOT(ISNUMBER(J239))),"",IF(J239&gt;0,$E239/J239,""))</f>
        <v/>
      </c>
      <c r="M239" s="43" t="str">
        <f aca="false">IF(OR(NOT(ISNUMBER($E239)),NOT(ISNUMBER(I239)),NOT(ISNUMBER(K239))),"",IF(K239&gt;I239,($E239-I239)/(K239-I239),""))</f>
        <v/>
      </c>
      <c r="N239" s="42" t="str">
        <f aca="false">IF(Basis="Compa-ratio",L239,M239)</f>
        <v/>
      </c>
      <c r="O239" s="44" t="str">
        <f aca="false">IF(ISNUMBER(N239),IFERROR(MATCH(N239,Matrix!$C$9:$G$9,1),1),"")</f>
        <v/>
      </c>
      <c r="P239" s="45" t="str">
        <f aca="false">IF(COUNTA($A239:$F239)=0,"",IF(Q239="","Y","N"))</f>
        <v/>
      </c>
      <c r="Q239" s="46" t="str">
        <f aca="false">IF(COUNTA($A239:$F239)=0,"",IF($A239="","ID missing",IF(TRIM($F239)="Exclude","Excluded by plan status",IF(AND(TRIM($F239)&lt;&gt;"",TRIM($F239)&lt;&gt;"Include"),"Plan status not valid (use Include or Exclude)",IF(NOT(ISNUMBER($C239)),"Hire date missing or not a date",IF($C239&gt;Cutoff,"Hired after cutoff",IF(NOT(ISNUMBER($E239)),"Salary missing or not a number",IF($E239&lt;=0,"Salary missing or not a number",IF(OR(NOT(ISNUMBER(I239)),NOT(ISNUMBER(J239)),NOT(ISNUMBER(K239))),"Grade not found in Ranges",IF($D239="","Rating missing",IF($D239="NR","Not rated (NR)",IF(NOT(ISNUMBER(MATCH($D239,Matrix!$A$14:$A$18,0))),"Rating not valid (use 1 to 5 or NR)",IF(NOT(ISNUMBER(O239)),"Band not found (check range and limits)","")))))))))))))</f>
        <v/>
      </c>
      <c r="R239" s="47" t="str">
        <f aca="false">IF($P239="Y",INDEX(Matrix!$C$14:$G$18,MATCH($D239,Matrix!$A$14:$A$18,0),$O239),IF($P239="N",0,""))</f>
        <v/>
      </c>
      <c r="S239" s="47" t="str">
        <f aca="false">IF($P239="Y",IF(AND(ISNUMBER($G239),$G239&gt;=0,$G239&lt;=1),$G239,$R239),IF($P239="N",0,""))</f>
        <v/>
      </c>
      <c r="T239" s="48" t="str">
        <f aca="false">IF($P239&lt;&gt;"Y",IF($P239="N",0,""),IF(ProrateMethod="None",1,IF($C239&lt;=PeriodStart,1,IF(ProrateMethod="Daily",MAX(0,MIN(1,(PeriodEnd-$C239+1)/(PeriodEnd-PeriodStart+1))),MAX(0,MIN(1,((YEAR(PeriodEnd)-YEAR($C239))*12+MONTH(PeriodEnd)-MONTH($C239)+1-IF(DAY($C239)&gt;MonthCutDay,1,0))/PeriodMonths))))))</f>
        <v/>
      </c>
      <c r="U239" s="47" t="str">
        <f aca="false">IF($P239="","",$S239*$T239)</f>
        <v/>
      </c>
      <c r="V239" s="49" t="str">
        <f aca="false">IF($P239="","",IF(ISNUMBER($E239),$E239,0)*$R239)</f>
        <v/>
      </c>
      <c r="W239" s="49" t="str">
        <f aca="false">IF($P239="","",IF(ISNUMBER($E239),$E239,0)*$S239)</f>
        <v/>
      </c>
      <c r="X239" s="49" t="str">
        <f aca="false">IF($P239="","",IF(ISNUMBER($E239),$E239,0)*$U239)</f>
        <v/>
      </c>
      <c r="Y239" s="49" t="str">
        <f aca="false">IF($P239="","",IF(AND(CapAtMax="Yes",$P239="Y"),MAX(0,MIN($X239,$K239-$E239)),$X239))</f>
        <v/>
      </c>
      <c r="Z239" s="41" t="str">
        <f aca="false">IF(OR($P239="",NOT(ISNUMBER($E239))),"",$E239+$Y239)</f>
        <v/>
      </c>
      <c r="AA239" s="42" t="str">
        <f aca="false">IF(AND(ISNUMBER(Z239),ISNUMBER(J239)),IF(J239&gt;0,Z239/J239,""),"")</f>
        <v/>
      </c>
      <c r="AB239" s="46" t="str">
        <f aca="false">IF($P239="","",TRIM(IF(AND($P239="Y",ISNUMBER(K239),ISNUMBER(Z239)),IF(Z239&gt;K239,"Above range max. ",""),"")&amp;IF(AND($P239="Y",ISNUMBER($X239),ISNUMBER($Y239)),IF($X239-$Y239&gt;0.005,"Capped at range max. ",""),"")&amp;IF(AND(AND(ISNUMBER($G239),$G239&gt;=0,$G239&lt;=1),$H239=""),"Override needs a reason. ","")&amp;IF(AND(AND(ISNUMBER($G239),$G239&gt;=0,$G239&lt;=1),$P239&lt;&gt;"Y"),"Override ignored. ","")&amp;IF(AND($G239&lt;&gt;"",NOT(AND(ISNUMBER($G239),$G239&gt;=0,$G239&lt;=1))),"Override not valid, ignored. ","")&amp;IF(AND($A239&lt;&gt;"",COUNTIF($A$5:$A$254,$A239)&gt;1),"Duplicate ID. ","")))</f>
        <v/>
      </c>
    </row>
    <row r="240" customFormat="false" ht="15" hidden="false" customHeight="false" outlineLevel="0" collapsed="false">
      <c r="A240" s="18"/>
      <c r="B240" s="38"/>
      <c r="C240" s="39"/>
      <c r="D240" s="38"/>
      <c r="E240" s="19"/>
      <c r="F240" s="38"/>
      <c r="G240" s="40"/>
      <c r="H240" s="18"/>
      <c r="I240" s="41" t="str">
        <f aca="false">IF(COUNTA($A240:$F240)=0,"",IF($B240="","",IFERROR(INDEX(Ranges!$B$5:$B$16,MATCH($B240,Ranges!$A$5:$A$16,0)),"")))</f>
        <v/>
      </c>
      <c r="J240" s="41" t="str">
        <f aca="false">IF(COUNTA($A240:$F240)=0,"",IF($B240="","",IFERROR(INDEX(Ranges!$C$5:$C$16,MATCH($B240,Ranges!$A$5:$A$16,0)),"")))</f>
        <v/>
      </c>
      <c r="K240" s="41" t="str">
        <f aca="false">IF(COUNTA($A240:$F240)=0,"",IF($B240="","",IFERROR(INDEX(Ranges!$D$5:$D$16,MATCH($B240,Ranges!$A$5:$A$16,0)),"")))</f>
        <v/>
      </c>
      <c r="L240" s="42" t="str">
        <f aca="false">IF(OR(NOT(ISNUMBER($E240)),NOT(ISNUMBER(J240))),"",IF(J240&gt;0,$E240/J240,""))</f>
        <v/>
      </c>
      <c r="M240" s="43" t="str">
        <f aca="false">IF(OR(NOT(ISNUMBER($E240)),NOT(ISNUMBER(I240)),NOT(ISNUMBER(K240))),"",IF(K240&gt;I240,($E240-I240)/(K240-I240),""))</f>
        <v/>
      </c>
      <c r="N240" s="42" t="str">
        <f aca="false">IF(Basis="Compa-ratio",L240,M240)</f>
        <v/>
      </c>
      <c r="O240" s="44" t="str">
        <f aca="false">IF(ISNUMBER(N240),IFERROR(MATCH(N240,Matrix!$C$9:$G$9,1),1),"")</f>
        <v/>
      </c>
      <c r="P240" s="45" t="str">
        <f aca="false">IF(COUNTA($A240:$F240)=0,"",IF(Q240="","Y","N"))</f>
        <v/>
      </c>
      <c r="Q240" s="46" t="str">
        <f aca="false">IF(COUNTA($A240:$F240)=0,"",IF($A240="","ID missing",IF(TRIM($F240)="Exclude","Excluded by plan status",IF(AND(TRIM($F240)&lt;&gt;"",TRIM($F240)&lt;&gt;"Include"),"Plan status not valid (use Include or Exclude)",IF(NOT(ISNUMBER($C240)),"Hire date missing or not a date",IF($C240&gt;Cutoff,"Hired after cutoff",IF(NOT(ISNUMBER($E240)),"Salary missing or not a number",IF($E240&lt;=0,"Salary missing or not a number",IF(OR(NOT(ISNUMBER(I240)),NOT(ISNUMBER(J240)),NOT(ISNUMBER(K240))),"Grade not found in Ranges",IF($D240="","Rating missing",IF($D240="NR","Not rated (NR)",IF(NOT(ISNUMBER(MATCH($D240,Matrix!$A$14:$A$18,0))),"Rating not valid (use 1 to 5 or NR)",IF(NOT(ISNUMBER(O240)),"Band not found (check range and limits)","")))))))))))))</f>
        <v/>
      </c>
      <c r="R240" s="47" t="str">
        <f aca="false">IF($P240="Y",INDEX(Matrix!$C$14:$G$18,MATCH($D240,Matrix!$A$14:$A$18,0),$O240),IF($P240="N",0,""))</f>
        <v/>
      </c>
      <c r="S240" s="47" t="str">
        <f aca="false">IF($P240="Y",IF(AND(ISNUMBER($G240),$G240&gt;=0,$G240&lt;=1),$G240,$R240),IF($P240="N",0,""))</f>
        <v/>
      </c>
      <c r="T240" s="48" t="str">
        <f aca="false">IF($P240&lt;&gt;"Y",IF($P240="N",0,""),IF(ProrateMethod="None",1,IF($C240&lt;=PeriodStart,1,IF(ProrateMethod="Daily",MAX(0,MIN(1,(PeriodEnd-$C240+1)/(PeriodEnd-PeriodStart+1))),MAX(0,MIN(1,((YEAR(PeriodEnd)-YEAR($C240))*12+MONTH(PeriodEnd)-MONTH($C240)+1-IF(DAY($C240)&gt;MonthCutDay,1,0))/PeriodMonths))))))</f>
        <v/>
      </c>
      <c r="U240" s="47" t="str">
        <f aca="false">IF($P240="","",$S240*$T240)</f>
        <v/>
      </c>
      <c r="V240" s="49" t="str">
        <f aca="false">IF($P240="","",IF(ISNUMBER($E240),$E240,0)*$R240)</f>
        <v/>
      </c>
      <c r="W240" s="49" t="str">
        <f aca="false">IF($P240="","",IF(ISNUMBER($E240),$E240,0)*$S240)</f>
        <v/>
      </c>
      <c r="X240" s="49" t="str">
        <f aca="false">IF($P240="","",IF(ISNUMBER($E240),$E240,0)*$U240)</f>
        <v/>
      </c>
      <c r="Y240" s="49" t="str">
        <f aca="false">IF($P240="","",IF(AND(CapAtMax="Yes",$P240="Y"),MAX(0,MIN($X240,$K240-$E240)),$X240))</f>
        <v/>
      </c>
      <c r="Z240" s="41" t="str">
        <f aca="false">IF(OR($P240="",NOT(ISNUMBER($E240))),"",$E240+$Y240)</f>
        <v/>
      </c>
      <c r="AA240" s="42" t="str">
        <f aca="false">IF(AND(ISNUMBER(Z240),ISNUMBER(J240)),IF(J240&gt;0,Z240/J240,""),"")</f>
        <v/>
      </c>
      <c r="AB240" s="46" t="str">
        <f aca="false">IF($P240="","",TRIM(IF(AND($P240="Y",ISNUMBER(K240),ISNUMBER(Z240)),IF(Z240&gt;K240,"Above range max. ",""),"")&amp;IF(AND($P240="Y",ISNUMBER($X240),ISNUMBER($Y240)),IF($X240-$Y240&gt;0.005,"Capped at range max. ",""),"")&amp;IF(AND(AND(ISNUMBER($G240),$G240&gt;=0,$G240&lt;=1),$H240=""),"Override needs a reason. ","")&amp;IF(AND(AND(ISNUMBER($G240),$G240&gt;=0,$G240&lt;=1),$P240&lt;&gt;"Y"),"Override ignored. ","")&amp;IF(AND($G240&lt;&gt;"",NOT(AND(ISNUMBER($G240),$G240&gt;=0,$G240&lt;=1))),"Override not valid, ignored. ","")&amp;IF(AND($A240&lt;&gt;"",COUNTIF($A$5:$A$254,$A240)&gt;1),"Duplicate ID. ","")))</f>
        <v/>
      </c>
    </row>
    <row r="241" customFormat="false" ht="15" hidden="false" customHeight="false" outlineLevel="0" collapsed="false">
      <c r="A241" s="18"/>
      <c r="B241" s="38"/>
      <c r="C241" s="39"/>
      <c r="D241" s="38"/>
      <c r="E241" s="19"/>
      <c r="F241" s="38"/>
      <c r="G241" s="40"/>
      <c r="H241" s="18"/>
      <c r="I241" s="41" t="str">
        <f aca="false">IF(COUNTA($A241:$F241)=0,"",IF($B241="","",IFERROR(INDEX(Ranges!$B$5:$B$16,MATCH($B241,Ranges!$A$5:$A$16,0)),"")))</f>
        <v/>
      </c>
      <c r="J241" s="41" t="str">
        <f aca="false">IF(COUNTA($A241:$F241)=0,"",IF($B241="","",IFERROR(INDEX(Ranges!$C$5:$C$16,MATCH($B241,Ranges!$A$5:$A$16,0)),"")))</f>
        <v/>
      </c>
      <c r="K241" s="41" t="str">
        <f aca="false">IF(COUNTA($A241:$F241)=0,"",IF($B241="","",IFERROR(INDEX(Ranges!$D$5:$D$16,MATCH($B241,Ranges!$A$5:$A$16,0)),"")))</f>
        <v/>
      </c>
      <c r="L241" s="42" t="str">
        <f aca="false">IF(OR(NOT(ISNUMBER($E241)),NOT(ISNUMBER(J241))),"",IF(J241&gt;0,$E241/J241,""))</f>
        <v/>
      </c>
      <c r="M241" s="43" t="str">
        <f aca="false">IF(OR(NOT(ISNUMBER($E241)),NOT(ISNUMBER(I241)),NOT(ISNUMBER(K241))),"",IF(K241&gt;I241,($E241-I241)/(K241-I241),""))</f>
        <v/>
      </c>
      <c r="N241" s="42" t="str">
        <f aca="false">IF(Basis="Compa-ratio",L241,M241)</f>
        <v/>
      </c>
      <c r="O241" s="44" t="str">
        <f aca="false">IF(ISNUMBER(N241),IFERROR(MATCH(N241,Matrix!$C$9:$G$9,1),1),"")</f>
        <v/>
      </c>
      <c r="P241" s="45" t="str">
        <f aca="false">IF(COUNTA($A241:$F241)=0,"",IF(Q241="","Y","N"))</f>
        <v/>
      </c>
      <c r="Q241" s="46" t="str">
        <f aca="false">IF(COUNTA($A241:$F241)=0,"",IF($A241="","ID missing",IF(TRIM($F241)="Exclude","Excluded by plan status",IF(AND(TRIM($F241)&lt;&gt;"",TRIM($F241)&lt;&gt;"Include"),"Plan status not valid (use Include or Exclude)",IF(NOT(ISNUMBER($C241)),"Hire date missing or not a date",IF($C241&gt;Cutoff,"Hired after cutoff",IF(NOT(ISNUMBER($E241)),"Salary missing or not a number",IF($E241&lt;=0,"Salary missing or not a number",IF(OR(NOT(ISNUMBER(I241)),NOT(ISNUMBER(J241)),NOT(ISNUMBER(K241))),"Grade not found in Ranges",IF($D241="","Rating missing",IF($D241="NR","Not rated (NR)",IF(NOT(ISNUMBER(MATCH($D241,Matrix!$A$14:$A$18,0))),"Rating not valid (use 1 to 5 or NR)",IF(NOT(ISNUMBER(O241)),"Band not found (check range and limits)","")))))))))))))</f>
        <v/>
      </c>
      <c r="R241" s="47" t="str">
        <f aca="false">IF($P241="Y",INDEX(Matrix!$C$14:$G$18,MATCH($D241,Matrix!$A$14:$A$18,0),$O241),IF($P241="N",0,""))</f>
        <v/>
      </c>
      <c r="S241" s="47" t="str">
        <f aca="false">IF($P241="Y",IF(AND(ISNUMBER($G241),$G241&gt;=0,$G241&lt;=1),$G241,$R241),IF($P241="N",0,""))</f>
        <v/>
      </c>
      <c r="T241" s="48" t="str">
        <f aca="false">IF($P241&lt;&gt;"Y",IF($P241="N",0,""),IF(ProrateMethod="None",1,IF($C241&lt;=PeriodStart,1,IF(ProrateMethod="Daily",MAX(0,MIN(1,(PeriodEnd-$C241+1)/(PeriodEnd-PeriodStart+1))),MAX(0,MIN(1,((YEAR(PeriodEnd)-YEAR($C241))*12+MONTH(PeriodEnd)-MONTH($C241)+1-IF(DAY($C241)&gt;MonthCutDay,1,0))/PeriodMonths))))))</f>
        <v/>
      </c>
      <c r="U241" s="47" t="str">
        <f aca="false">IF($P241="","",$S241*$T241)</f>
        <v/>
      </c>
      <c r="V241" s="49" t="str">
        <f aca="false">IF($P241="","",IF(ISNUMBER($E241),$E241,0)*$R241)</f>
        <v/>
      </c>
      <c r="W241" s="49" t="str">
        <f aca="false">IF($P241="","",IF(ISNUMBER($E241),$E241,0)*$S241)</f>
        <v/>
      </c>
      <c r="X241" s="49" t="str">
        <f aca="false">IF($P241="","",IF(ISNUMBER($E241),$E241,0)*$U241)</f>
        <v/>
      </c>
      <c r="Y241" s="49" t="str">
        <f aca="false">IF($P241="","",IF(AND(CapAtMax="Yes",$P241="Y"),MAX(0,MIN($X241,$K241-$E241)),$X241))</f>
        <v/>
      </c>
      <c r="Z241" s="41" t="str">
        <f aca="false">IF(OR($P241="",NOT(ISNUMBER($E241))),"",$E241+$Y241)</f>
        <v/>
      </c>
      <c r="AA241" s="42" t="str">
        <f aca="false">IF(AND(ISNUMBER(Z241),ISNUMBER(J241)),IF(J241&gt;0,Z241/J241,""),"")</f>
        <v/>
      </c>
      <c r="AB241" s="46" t="str">
        <f aca="false">IF($P241="","",TRIM(IF(AND($P241="Y",ISNUMBER(K241),ISNUMBER(Z241)),IF(Z241&gt;K241,"Above range max. ",""),"")&amp;IF(AND($P241="Y",ISNUMBER($X241),ISNUMBER($Y241)),IF($X241-$Y241&gt;0.005,"Capped at range max. ",""),"")&amp;IF(AND(AND(ISNUMBER($G241),$G241&gt;=0,$G241&lt;=1),$H241=""),"Override needs a reason. ","")&amp;IF(AND(AND(ISNUMBER($G241),$G241&gt;=0,$G241&lt;=1),$P241&lt;&gt;"Y"),"Override ignored. ","")&amp;IF(AND($G241&lt;&gt;"",NOT(AND(ISNUMBER($G241),$G241&gt;=0,$G241&lt;=1))),"Override not valid, ignored. ","")&amp;IF(AND($A241&lt;&gt;"",COUNTIF($A$5:$A$254,$A241)&gt;1),"Duplicate ID. ","")))</f>
        <v/>
      </c>
    </row>
    <row r="242" customFormat="false" ht="15" hidden="false" customHeight="false" outlineLevel="0" collapsed="false">
      <c r="A242" s="18"/>
      <c r="B242" s="38"/>
      <c r="C242" s="39"/>
      <c r="D242" s="38"/>
      <c r="E242" s="19"/>
      <c r="F242" s="38"/>
      <c r="G242" s="40"/>
      <c r="H242" s="18"/>
      <c r="I242" s="41" t="str">
        <f aca="false">IF(COUNTA($A242:$F242)=0,"",IF($B242="","",IFERROR(INDEX(Ranges!$B$5:$B$16,MATCH($B242,Ranges!$A$5:$A$16,0)),"")))</f>
        <v/>
      </c>
      <c r="J242" s="41" t="str">
        <f aca="false">IF(COUNTA($A242:$F242)=0,"",IF($B242="","",IFERROR(INDEX(Ranges!$C$5:$C$16,MATCH($B242,Ranges!$A$5:$A$16,0)),"")))</f>
        <v/>
      </c>
      <c r="K242" s="41" t="str">
        <f aca="false">IF(COUNTA($A242:$F242)=0,"",IF($B242="","",IFERROR(INDEX(Ranges!$D$5:$D$16,MATCH($B242,Ranges!$A$5:$A$16,0)),"")))</f>
        <v/>
      </c>
      <c r="L242" s="42" t="str">
        <f aca="false">IF(OR(NOT(ISNUMBER($E242)),NOT(ISNUMBER(J242))),"",IF(J242&gt;0,$E242/J242,""))</f>
        <v/>
      </c>
      <c r="M242" s="43" t="str">
        <f aca="false">IF(OR(NOT(ISNUMBER($E242)),NOT(ISNUMBER(I242)),NOT(ISNUMBER(K242))),"",IF(K242&gt;I242,($E242-I242)/(K242-I242),""))</f>
        <v/>
      </c>
      <c r="N242" s="42" t="str">
        <f aca="false">IF(Basis="Compa-ratio",L242,M242)</f>
        <v/>
      </c>
      <c r="O242" s="44" t="str">
        <f aca="false">IF(ISNUMBER(N242),IFERROR(MATCH(N242,Matrix!$C$9:$G$9,1),1),"")</f>
        <v/>
      </c>
      <c r="P242" s="45" t="str">
        <f aca="false">IF(COUNTA($A242:$F242)=0,"",IF(Q242="","Y","N"))</f>
        <v/>
      </c>
      <c r="Q242" s="46" t="str">
        <f aca="false">IF(COUNTA($A242:$F242)=0,"",IF($A242="","ID missing",IF(TRIM($F242)="Exclude","Excluded by plan status",IF(AND(TRIM($F242)&lt;&gt;"",TRIM($F242)&lt;&gt;"Include"),"Plan status not valid (use Include or Exclude)",IF(NOT(ISNUMBER($C242)),"Hire date missing or not a date",IF($C242&gt;Cutoff,"Hired after cutoff",IF(NOT(ISNUMBER($E242)),"Salary missing or not a number",IF($E242&lt;=0,"Salary missing or not a number",IF(OR(NOT(ISNUMBER(I242)),NOT(ISNUMBER(J242)),NOT(ISNUMBER(K242))),"Grade not found in Ranges",IF($D242="","Rating missing",IF($D242="NR","Not rated (NR)",IF(NOT(ISNUMBER(MATCH($D242,Matrix!$A$14:$A$18,0))),"Rating not valid (use 1 to 5 or NR)",IF(NOT(ISNUMBER(O242)),"Band not found (check range and limits)","")))))))))))))</f>
        <v/>
      </c>
      <c r="R242" s="47" t="str">
        <f aca="false">IF($P242="Y",INDEX(Matrix!$C$14:$G$18,MATCH($D242,Matrix!$A$14:$A$18,0),$O242),IF($P242="N",0,""))</f>
        <v/>
      </c>
      <c r="S242" s="47" t="str">
        <f aca="false">IF($P242="Y",IF(AND(ISNUMBER($G242),$G242&gt;=0,$G242&lt;=1),$G242,$R242),IF($P242="N",0,""))</f>
        <v/>
      </c>
      <c r="T242" s="48" t="str">
        <f aca="false">IF($P242&lt;&gt;"Y",IF($P242="N",0,""),IF(ProrateMethod="None",1,IF($C242&lt;=PeriodStart,1,IF(ProrateMethod="Daily",MAX(0,MIN(1,(PeriodEnd-$C242+1)/(PeriodEnd-PeriodStart+1))),MAX(0,MIN(1,((YEAR(PeriodEnd)-YEAR($C242))*12+MONTH(PeriodEnd)-MONTH($C242)+1-IF(DAY($C242)&gt;MonthCutDay,1,0))/PeriodMonths))))))</f>
        <v/>
      </c>
      <c r="U242" s="47" t="str">
        <f aca="false">IF($P242="","",$S242*$T242)</f>
        <v/>
      </c>
      <c r="V242" s="49" t="str">
        <f aca="false">IF($P242="","",IF(ISNUMBER($E242),$E242,0)*$R242)</f>
        <v/>
      </c>
      <c r="W242" s="49" t="str">
        <f aca="false">IF($P242="","",IF(ISNUMBER($E242),$E242,0)*$S242)</f>
        <v/>
      </c>
      <c r="X242" s="49" t="str">
        <f aca="false">IF($P242="","",IF(ISNUMBER($E242),$E242,0)*$U242)</f>
        <v/>
      </c>
      <c r="Y242" s="49" t="str">
        <f aca="false">IF($P242="","",IF(AND(CapAtMax="Yes",$P242="Y"),MAX(0,MIN($X242,$K242-$E242)),$X242))</f>
        <v/>
      </c>
      <c r="Z242" s="41" t="str">
        <f aca="false">IF(OR($P242="",NOT(ISNUMBER($E242))),"",$E242+$Y242)</f>
        <v/>
      </c>
      <c r="AA242" s="42" t="str">
        <f aca="false">IF(AND(ISNUMBER(Z242),ISNUMBER(J242)),IF(J242&gt;0,Z242/J242,""),"")</f>
        <v/>
      </c>
      <c r="AB242" s="46" t="str">
        <f aca="false">IF($P242="","",TRIM(IF(AND($P242="Y",ISNUMBER(K242),ISNUMBER(Z242)),IF(Z242&gt;K242,"Above range max. ",""),"")&amp;IF(AND($P242="Y",ISNUMBER($X242),ISNUMBER($Y242)),IF($X242-$Y242&gt;0.005,"Capped at range max. ",""),"")&amp;IF(AND(AND(ISNUMBER($G242),$G242&gt;=0,$G242&lt;=1),$H242=""),"Override needs a reason. ","")&amp;IF(AND(AND(ISNUMBER($G242),$G242&gt;=0,$G242&lt;=1),$P242&lt;&gt;"Y"),"Override ignored. ","")&amp;IF(AND($G242&lt;&gt;"",NOT(AND(ISNUMBER($G242),$G242&gt;=0,$G242&lt;=1))),"Override not valid, ignored. ","")&amp;IF(AND($A242&lt;&gt;"",COUNTIF($A$5:$A$254,$A242)&gt;1),"Duplicate ID. ","")))</f>
        <v/>
      </c>
    </row>
    <row r="243" customFormat="false" ht="15" hidden="false" customHeight="false" outlineLevel="0" collapsed="false">
      <c r="A243" s="18"/>
      <c r="B243" s="38"/>
      <c r="C243" s="39"/>
      <c r="D243" s="38"/>
      <c r="E243" s="19"/>
      <c r="F243" s="38"/>
      <c r="G243" s="40"/>
      <c r="H243" s="18"/>
      <c r="I243" s="41" t="str">
        <f aca="false">IF(COUNTA($A243:$F243)=0,"",IF($B243="","",IFERROR(INDEX(Ranges!$B$5:$B$16,MATCH($B243,Ranges!$A$5:$A$16,0)),"")))</f>
        <v/>
      </c>
      <c r="J243" s="41" t="str">
        <f aca="false">IF(COUNTA($A243:$F243)=0,"",IF($B243="","",IFERROR(INDEX(Ranges!$C$5:$C$16,MATCH($B243,Ranges!$A$5:$A$16,0)),"")))</f>
        <v/>
      </c>
      <c r="K243" s="41" t="str">
        <f aca="false">IF(COUNTA($A243:$F243)=0,"",IF($B243="","",IFERROR(INDEX(Ranges!$D$5:$D$16,MATCH($B243,Ranges!$A$5:$A$16,0)),"")))</f>
        <v/>
      </c>
      <c r="L243" s="42" t="str">
        <f aca="false">IF(OR(NOT(ISNUMBER($E243)),NOT(ISNUMBER(J243))),"",IF(J243&gt;0,$E243/J243,""))</f>
        <v/>
      </c>
      <c r="M243" s="43" t="str">
        <f aca="false">IF(OR(NOT(ISNUMBER($E243)),NOT(ISNUMBER(I243)),NOT(ISNUMBER(K243))),"",IF(K243&gt;I243,($E243-I243)/(K243-I243),""))</f>
        <v/>
      </c>
      <c r="N243" s="42" t="str">
        <f aca="false">IF(Basis="Compa-ratio",L243,M243)</f>
        <v/>
      </c>
      <c r="O243" s="44" t="str">
        <f aca="false">IF(ISNUMBER(N243),IFERROR(MATCH(N243,Matrix!$C$9:$G$9,1),1),"")</f>
        <v/>
      </c>
      <c r="P243" s="45" t="str">
        <f aca="false">IF(COUNTA($A243:$F243)=0,"",IF(Q243="","Y","N"))</f>
        <v/>
      </c>
      <c r="Q243" s="46" t="str">
        <f aca="false">IF(COUNTA($A243:$F243)=0,"",IF($A243="","ID missing",IF(TRIM($F243)="Exclude","Excluded by plan status",IF(AND(TRIM($F243)&lt;&gt;"",TRIM($F243)&lt;&gt;"Include"),"Plan status not valid (use Include or Exclude)",IF(NOT(ISNUMBER($C243)),"Hire date missing or not a date",IF($C243&gt;Cutoff,"Hired after cutoff",IF(NOT(ISNUMBER($E243)),"Salary missing or not a number",IF($E243&lt;=0,"Salary missing or not a number",IF(OR(NOT(ISNUMBER(I243)),NOT(ISNUMBER(J243)),NOT(ISNUMBER(K243))),"Grade not found in Ranges",IF($D243="","Rating missing",IF($D243="NR","Not rated (NR)",IF(NOT(ISNUMBER(MATCH($D243,Matrix!$A$14:$A$18,0))),"Rating not valid (use 1 to 5 or NR)",IF(NOT(ISNUMBER(O243)),"Band not found (check range and limits)","")))))))))))))</f>
        <v/>
      </c>
      <c r="R243" s="47" t="str">
        <f aca="false">IF($P243="Y",INDEX(Matrix!$C$14:$G$18,MATCH($D243,Matrix!$A$14:$A$18,0),$O243),IF($P243="N",0,""))</f>
        <v/>
      </c>
      <c r="S243" s="47" t="str">
        <f aca="false">IF($P243="Y",IF(AND(ISNUMBER($G243),$G243&gt;=0,$G243&lt;=1),$G243,$R243),IF($P243="N",0,""))</f>
        <v/>
      </c>
      <c r="T243" s="48" t="str">
        <f aca="false">IF($P243&lt;&gt;"Y",IF($P243="N",0,""),IF(ProrateMethod="None",1,IF($C243&lt;=PeriodStart,1,IF(ProrateMethod="Daily",MAX(0,MIN(1,(PeriodEnd-$C243+1)/(PeriodEnd-PeriodStart+1))),MAX(0,MIN(1,((YEAR(PeriodEnd)-YEAR($C243))*12+MONTH(PeriodEnd)-MONTH($C243)+1-IF(DAY($C243)&gt;MonthCutDay,1,0))/PeriodMonths))))))</f>
        <v/>
      </c>
      <c r="U243" s="47" t="str">
        <f aca="false">IF($P243="","",$S243*$T243)</f>
        <v/>
      </c>
      <c r="V243" s="49" t="str">
        <f aca="false">IF($P243="","",IF(ISNUMBER($E243),$E243,0)*$R243)</f>
        <v/>
      </c>
      <c r="W243" s="49" t="str">
        <f aca="false">IF($P243="","",IF(ISNUMBER($E243),$E243,0)*$S243)</f>
        <v/>
      </c>
      <c r="X243" s="49" t="str">
        <f aca="false">IF($P243="","",IF(ISNUMBER($E243),$E243,0)*$U243)</f>
        <v/>
      </c>
      <c r="Y243" s="49" t="str">
        <f aca="false">IF($P243="","",IF(AND(CapAtMax="Yes",$P243="Y"),MAX(0,MIN($X243,$K243-$E243)),$X243))</f>
        <v/>
      </c>
      <c r="Z243" s="41" t="str">
        <f aca="false">IF(OR($P243="",NOT(ISNUMBER($E243))),"",$E243+$Y243)</f>
        <v/>
      </c>
      <c r="AA243" s="42" t="str">
        <f aca="false">IF(AND(ISNUMBER(Z243),ISNUMBER(J243)),IF(J243&gt;0,Z243/J243,""),"")</f>
        <v/>
      </c>
      <c r="AB243" s="46" t="str">
        <f aca="false">IF($P243="","",TRIM(IF(AND($P243="Y",ISNUMBER(K243),ISNUMBER(Z243)),IF(Z243&gt;K243,"Above range max. ",""),"")&amp;IF(AND($P243="Y",ISNUMBER($X243),ISNUMBER($Y243)),IF($X243-$Y243&gt;0.005,"Capped at range max. ",""),"")&amp;IF(AND(AND(ISNUMBER($G243),$G243&gt;=0,$G243&lt;=1),$H243=""),"Override needs a reason. ","")&amp;IF(AND(AND(ISNUMBER($G243),$G243&gt;=0,$G243&lt;=1),$P243&lt;&gt;"Y"),"Override ignored. ","")&amp;IF(AND($G243&lt;&gt;"",NOT(AND(ISNUMBER($G243),$G243&gt;=0,$G243&lt;=1))),"Override not valid, ignored. ","")&amp;IF(AND($A243&lt;&gt;"",COUNTIF($A$5:$A$254,$A243)&gt;1),"Duplicate ID. ","")))</f>
        <v/>
      </c>
    </row>
    <row r="244" customFormat="false" ht="15" hidden="false" customHeight="false" outlineLevel="0" collapsed="false">
      <c r="A244" s="18"/>
      <c r="B244" s="38"/>
      <c r="C244" s="39"/>
      <c r="D244" s="38"/>
      <c r="E244" s="19"/>
      <c r="F244" s="38"/>
      <c r="G244" s="40"/>
      <c r="H244" s="18"/>
      <c r="I244" s="41" t="str">
        <f aca="false">IF(COUNTA($A244:$F244)=0,"",IF($B244="","",IFERROR(INDEX(Ranges!$B$5:$B$16,MATCH($B244,Ranges!$A$5:$A$16,0)),"")))</f>
        <v/>
      </c>
      <c r="J244" s="41" t="str">
        <f aca="false">IF(COUNTA($A244:$F244)=0,"",IF($B244="","",IFERROR(INDEX(Ranges!$C$5:$C$16,MATCH($B244,Ranges!$A$5:$A$16,0)),"")))</f>
        <v/>
      </c>
      <c r="K244" s="41" t="str">
        <f aca="false">IF(COUNTA($A244:$F244)=0,"",IF($B244="","",IFERROR(INDEX(Ranges!$D$5:$D$16,MATCH($B244,Ranges!$A$5:$A$16,0)),"")))</f>
        <v/>
      </c>
      <c r="L244" s="42" t="str">
        <f aca="false">IF(OR(NOT(ISNUMBER($E244)),NOT(ISNUMBER(J244))),"",IF(J244&gt;0,$E244/J244,""))</f>
        <v/>
      </c>
      <c r="M244" s="43" t="str">
        <f aca="false">IF(OR(NOT(ISNUMBER($E244)),NOT(ISNUMBER(I244)),NOT(ISNUMBER(K244))),"",IF(K244&gt;I244,($E244-I244)/(K244-I244),""))</f>
        <v/>
      </c>
      <c r="N244" s="42" t="str">
        <f aca="false">IF(Basis="Compa-ratio",L244,M244)</f>
        <v/>
      </c>
      <c r="O244" s="44" t="str">
        <f aca="false">IF(ISNUMBER(N244),IFERROR(MATCH(N244,Matrix!$C$9:$G$9,1),1),"")</f>
        <v/>
      </c>
      <c r="P244" s="45" t="str">
        <f aca="false">IF(COUNTA($A244:$F244)=0,"",IF(Q244="","Y","N"))</f>
        <v/>
      </c>
      <c r="Q244" s="46" t="str">
        <f aca="false">IF(COUNTA($A244:$F244)=0,"",IF($A244="","ID missing",IF(TRIM($F244)="Exclude","Excluded by plan status",IF(AND(TRIM($F244)&lt;&gt;"",TRIM($F244)&lt;&gt;"Include"),"Plan status not valid (use Include or Exclude)",IF(NOT(ISNUMBER($C244)),"Hire date missing or not a date",IF($C244&gt;Cutoff,"Hired after cutoff",IF(NOT(ISNUMBER($E244)),"Salary missing or not a number",IF($E244&lt;=0,"Salary missing or not a number",IF(OR(NOT(ISNUMBER(I244)),NOT(ISNUMBER(J244)),NOT(ISNUMBER(K244))),"Grade not found in Ranges",IF($D244="","Rating missing",IF($D244="NR","Not rated (NR)",IF(NOT(ISNUMBER(MATCH($D244,Matrix!$A$14:$A$18,0))),"Rating not valid (use 1 to 5 or NR)",IF(NOT(ISNUMBER(O244)),"Band not found (check range and limits)","")))))))))))))</f>
        <v/>
      </c>
      <c r="R244" s="47" t="str">
        <f aca="false">IF($P244="Y",INDEX(Matrix!$C$14:$G$18,MATCH($D244,Matrix!$A$14:$A$18,0),$O244),IF($P244="N",0,""))</f>
        <v/>
      </c>
      <c r="S244" s="47" t="str">
        <f aca="false">IF($P244="Y",IF(AND(ISNUMBER($G244),$G244&gt;=0,$G244&lt;=1),$G244,$R244),IF($P244="N",0,""))</f>
        <v/>
      </c>
      <c r="T244" s="48" t="str">
        <f aca="false">IF($P244&lt;&gt;"Y",IF($P244="N",0,""),IF(ProrateMethod="None",1,IF($C244&lt;=PeriodStart,1,IF(ProrateMethod="Daily",MAX(0,MIN(1,(PeriodEnd-$C244+1)/(PeriodEnd-PeriodStart+1))),MAX(0,MIN(1,((YEAR(PeriodEnd)-YEAR($C244))*12+MONTH(PeriodEnd)-MONTH($C244)+1-IF(DAY($C244)&gt;MonthCutDay,1,0))/PeriodMonths))))))</f>
        <v/>
      </c>
      <c r="U244" s="47" t="str">
        <f aca="false">IF($P244="","",$S244*$T244)</f>
        <v/>
      </c>
      <c r="V244" s="49" t="str">
        <f aca="false">IF($P244="","",IF(ISNUMBER($E244),$E244,0)*$R244)</f>
        <v/>
      </c>
      <c r="W244" s="49" t="str">
        <f aca="false">IF($P244="","",IF(ISNUMBER($E244),$E244,0)*$S244)</f>
        <v/>
      </c>
      <c r="X244" s="49" t="str">
        <f aca="false">IF($P244="","",IF(ISNUMBER($E244),$E244,0)*$U244)</f>
        <v/>
      </c>
      <c r="Y244" s="49" t="str">
        <f aca="false">IF($P244="","",IF(AND(CapAtMax="Yes",$P244="Y"),MAX(0,MIN($X244,$K244-$E244)),$X244))</f>
        <v/>
      </c>
      <c r="Z244" s="41" t="str">
        <f aca="false">IF(OR($P244="",NOT(ISNUMBER($E244))),"",$E244+$Y244)</f>
        <v/>
      </c>
      <c r="AA244" s="42" t="str">
        <f aca="false">IF(AND(ISNUMBER(Z244),ISNUMBER(J244)),IF(J244&gt;0,Z244/J244,""),"")</f>
        <v/>
      </c>
      <c r="AB244" s="46" t="str">
        <f aca="false">IF($P244="","",TRIM(IF(AND($P244="Y",ISNUMBER(K244),ISNUMBER(Z244)),IF(Z244&gt;K244,"Above range max. ",""),"")&amp;IF(AND($P244="Y",ISNUMBER($X244),ISNUMBER($Y244)),IF($X244-$Y244&gt;0.005,"Capped at range max. ",""),"")&amp;IF(AND(AND(ISNUMBER($G244),$G244&gt;=0,$G244&lt;=1),$H244=""),"Override needs a reason. ","")&amp;IF(AND(AND(ISNUMBER($G244),$G244&gt;=0,$G244&lt;=1),$P244&lt;&gt;"Y"),"Override ignored. ","")&amp;IF(AND($G244&lt;&gt;"",NOT(AND(ISNUMBER($G244),$G244&gt;=0,$G244&lt;=1))),"Override not valid, ignored. ","")&amp;IF(AND($A244&lt;&gt;"",COUNTIF($A$5:$A$254,$A244)&gt;1),"Duplicate ID. ","")))</f>
        <v/>
      </c>
    </row>
    <row r="245" customFormat="false" ht="15" hidden="false" customHeight="false" outlineLevel="0" collapsed="false">
      <c r="A245" s="18"/>
      <c r="B245" s="38"/>
      <c r="C245" s="39"/>
      <c r="D245" s="38"/>
      <c r="E245" s="19"/>
      <c r="F245" s="38"/>
      <c r="G245" s="40"/>
      <c r="H245" s="18"/>
      <c r="I245" s="41" t="str">
        <f aca="false">IF(COUNTA($A245:$F245)=0,"",IF($B245="","",IFERROR(INDEX(Ranges!$B$5:$B$16,MATCH($B245,Ranges!$A$5:$A$16,0)),"")))</f>
        <v/>
      </c>
      <c r="J245" s="41" t="str">
        <f aca="false">IF(COUNTA($A245:$F245)=0,"",IF($B245="","",IFERROR(INDEX(Ranges!$C$5:$C$16,MATCH($B245,Ranges!$A$5:$A$16,0)),"")))</f>
        <v/>
      </c>
      <c r="K245" s="41" t="str">
        <f aca="false">IF(COUNTA($A245:$F245)=0,"",IF($B245="","",IFERROR(INDEX(Ranges!$D$5:$D$16,MATCH($B245,Ranges!$A$5:$A$16,0)),"")))</f>
        <v/>
      </c>
      <c r="L245" s="42" t="str">
        <f aca="false">IF(OR(NOT(ISNUMBER($E245)),NOT(ISNUMBER(J245))),"",IF(J245&gt;0,$E245/J245,""))</f>
        <v/>
      </c>
      <c r="M245" s="43" t="str">
        <f aca="false">IF(OR(NOT(ISNUMBER($E245)),NOT(ISNUMBER(I245)),NOT(ISNUMBER(K245))),"",IF(K245&gt;I245,($E245-I245)/(K245-I245),""))</f>
        <v/>
      </c>
      <c r="N245" s="42" t="str">
        <f aca="false">IF(Basis="Compa-ratio",L245,M245)</f>
        <v/>
      </c>
      <c r="O245" s="44" t="str">
        <f aca="false">IF(ISNUMBER(N245),IFERROR(MATCH(N245,Matrix!$C$9:$G$9,1),1),"")</f>
        <v/>
      </c>
      <c r="P245" s="45" t="str">
        <f aca="false">IF(COUNTA($A245:$F245)=0,"",IF(Q245="","Y","N"))</f>
        <v/>
      </c>
      <c r="Q245" s="46" t="str">
        <f aca="false">IF(COUNTA($A245:$F245)=0,"",IF($A245="","ID missing",IF(TRIM($F245)="Exclude","Excluded by plan status",IF(AND(TRIM($F245)&lt;&gt;"",TRIM($F245)&lt;&gt;"Include"),"Plan status not valid (use Include or Exclude)",IF(NOT(ISNUMBER($C245)),"Hire date missing or not a date",IF($C245&gt;Cutoff,"Hired after cutoff",IF(NOT(ISNUMBER($E245)),"Salary missing or not a number",IF($E245&lt;=0,"Salary missing or not a number",IF(OR(NOT(ISNUMBER(I245)),NOT(ISNUMBER(J245)),NOT(ISNUMBER(K245))),"Grade not found in Ranges",IF($D245="","Rating missing",IF($D245="NR","Not rated (NR)",IF(NOT(ISNUMBER(MATCH($D245,Matrix!$A$14:$A$18,0))),"Rating not valid (use 1 to 5 or NR)",IF(NOT(ISNUMBER(O245)),"Band not found (check range and limits)","")))))))))))))</f>
        <v/>
      </c>
      <c r="R245" s="47" t="str">
        <f aca="false">IF($P245="Y",INDEX(Matrix!$C$14:$G$18,MATCH($D245,Matrix!$A$14:$A$18,0),$O245),IF($P245="N",0,""))</f>
        <v/>
      </c>
      <c r="S245" s="47" t="str">
        <f aca="false">IF($P245="Y",IF(AND(ISNUMBER($G245),$G245&gt;=0,$G245&lt;=1),$G245,$R245),IF($P245="N",0,""))</f>
        <v/>
      </c>
      <c r="T245" s="48" t="str">
        <f aca="false">IF($P245&lt;&gt;"Y",IF($P245="N",0,""),IF(ProrateMethod="None",1,IF($C245&lt;=PeriodStart,1,IF(ProrateMethod="Daily",MAX(0,MIN(1,(PeriodEnd-$C245+1)/(PeriodEnd-PeriodStart+1))),MAX(0,MIN(1,((YEAR(PeriodEnd)-YEAR($C245))*12+MONTH(PeriodEnd)-MONTH($C245)+1-IF(DAY($C245)&gt;MonthCutDay,1,0))/PeriodMonths))))))</f>
        <v/>
      </c>
      <c r="U245" s="47" t="str">
        <f aca="false">IF($P245="","",$S245*$T245)</f>
        <v/>
      </c>
      <c r="V245" s="49" t="str">
        <f aca="false">IF($P245="","",IF(ISNUMBER($E245),$E245,0)*$R245)</f>
        <v/>
      </c>
      <c r="W245" s="49" t="str">
        <f aca="false">IF($P245="","",IF(ISNUMBER($E245),$E245,0)*$S245)</f>
        <v/>
      </c>
      <c r="X245" s="49" t="str">
        <f aca="false">IF($P245="","",IF(ISNUMBER($E245),$E245,0)*$U245)</f>
        <v/>
      </c>
      <c r="Y245" s="49" t="str">
        <f aca="false">IF($P245="","",IF(AND(CapAtMax="Yes",$P245="Y"),MAX(0,MIN($X245,$K245-$E245)),$X245))</f>
        <v/>
      </c>
      <c r="Z245" s="41" t="str">
        <f aca="false">IF(OR($P245="",NOT(ISNUMBER($E245))),"",$E245+$Y245)</f>
        <v/>
      </c>
      <c r="AA245" s="42" t="str">
        <f aca="false">IF(AND(ISNUMBER(Z245),ISNUMBER(J245)),IF(J245&gt;0,Z245/J245,""),"")</f>
        <v/>
      </c>
      <c r="AB245" s="46" t="str">
        <f aca="false">IF($P245="","",TRIM(IF(AND($P245="Y",ISNUMBER(K245),ISNUMBER(Z245)),IF(Z245&gt;K245,"Above range max. ",""),"")&amp;IF(AND($P245="Y",ISNUMBER($X245),ISNUMBER($Y245)),IF($X245-$Y245&gt;0.005,"Capped at range max. ",""),"")&amp;IF(AND(AND(ISNUMBER($G245),$G245&gt;=0,$G245&lt;=1),$H245=""),"Override needs a reason. ","")&amp;IF(AND(AND(ISNUMBER($G245),$G245&gt;=0,$G245&lt;=1),$P245&lt;&gt;"Y"),"Override ignored. ","")&amp;IF(AND($G245&lt;&gt;"",NOT(AND(ISNUMBER($G245),$G245&gt;=0,$G245&lt;=1))),"Override not valid, ignored. ","")&amp;IF(AND($A245&lt;&gt;"",COUNTIF($A$5:$A$254,$A245)&gt;1),"Duplicate ID. ","")))</f>
        <v/>
      </c>
    </row>
    <row r="246" customFormat="false" ht="15" hidden="false" customHeight="false" outlineLevel="0" collapsed="false">
      <c r="A246" s="18"/>
      <c r="B246" s="38"/>
      <c r="C246" s="39"/>
      <c r="D246" s="38"/>
      <c r="E246" s="19"/>
      <c r="F246" s="38"/>
      <c r="G246" s="40"/>
      <c r="H246" s="18"/>
      <c r="I246" s="41" t="str">
        <f aca="false">IF(COUNTA($A246:$F246)=0,"",IF($B246="","",IFERROR(INDEX(Ranges!$B$5:$B$16,MATCH($B246,Ranges!$A$5:$A$16,0)),"")))</f>
        <v/>
      </c>
      <c r="J246" s="41" t="str">
        <f aca="false">IF(COUNTA($A246:$F246)=0,"",IF($B246="","",IFERROR(INDEX(Ranges!$C$5:$C$16,MATCH($B246,Ranges!$A$5:$A$16,0)),"")))</f>
        <v/>
      </c>
      <c r="K246" s="41" t="str">
        <f aca="false">IF(COUNTA($A246:$F246)=0,"",IF($B246="","",IFERROR(INDEX(Ranges!$D$5:$D$16,MATCH($B246,Ranges!$A$5:$A$16,0)),"")))</f>
        <v/>
      </c>
      <c r="L246" s="42" t="str">
        <f aca="false">IF(OR(NOT(ISNUMBER($E246)),NOT(ISNUMBER(J246))),"",IF(J246&gt;0,$E246/J246,""))</f>
        <v/>
      </c>
      <c r="M246" s="43" t="str">
        <f aca="false">IF(OR(NOT(ISNUMBER($E246)),NOT(ISNUMBER(I246)),NOT(ISNUMBER(K246))),"",IF(K246&gt;I246,($E246-I246)/(K246-I246),""))</f>
        <v/>
      </c>
      <c r="N246" s="42" t="str">
        <f aca="false">IF(Basis="Compa-ratio",L246,M246)</f>
        <v/>
      </c>
      <c r="O246" s="44" t="str">
        <f aca="false">IF(ISNUMBER(N246),IFERROR(MATCH(N246,Matrix!$C$9:$G$9,1),1),"")</f>
        <v/>
      </c>
      <c r="P246" s="45" t="str">
        <f aca="false">IF(COUNTA($A246:$F246)=0,"",IF(Q246="","Y","N"))</f>
        <v/>
      </c>
      <c r="Q246" s="46" t="str">
        <f aca="false">IF(COUNTA($A246:$F246)=0,"",IF($A246="","ID missing",IF(TRIM($F246)="Exclude","Excluded by plan status",IF(AND(TRIM($F246)&lt;&gt;"",TRIM($F246)&lt;&gt;"Include"),"Plan status not valid (use Include or Exclude)",IF(NOT(ISNUMBER($C246)),"Hire date missing or not a date",IF($C246&gt;Cutoff,"Hired after cutoff",IF(NOT(ISNUMBER($E246)),"Salary missing or not a number",IF($E246&lt;=0,"Salary missing or not a number",IF(OR(NOT(ISNUMBER(I246)),NOT(ISNUMBER(J246)),NOT(ISNUMBER(K246))),"Grade not found in Ranges",IF($D246="","Rating missing",IF($D246="NR","Not rated (NR)",IF(NOT(ISNUMBER(MATCH($D246,Matrix!$A$14:$A$18,0))),"Rating not valid (use 1 to 5 or NR)",IF(NOT(ISNUMBER(O246)),"Band not found (check range and limits)","")))))))))))))</f>
        <v/>
      </c>
      <c r="R246" s="47" t="str">
        <f aca="false">IF($P246="Y",INDEX(Matrix!$C$14:$G$18,MATCH($D246,Matrix!$A$14:$A$18,0),$O246),IF($P246="N",0,""))</f>
        <v/>
      </c>
      <c r="S246" s="47" t="str">
        <f aca="false">IF($P246="Y",IF(AND(ISNUMBER($G246),$G246&gt;=0,$G246&lt;=1),$G246,$R246),IF($P246="N",0,""))</f>
        <v/>
      </c>
      <c r="T246" s="48" t="str">
        <f aca="false">IF($P246&lt;&gt;"Y",IF($P246="N",0,""),IF(ProrateMethod="None",1,IF($C246&lt;=PeriodStart,1,IF(ProrateMethod="Daily",MAX(0,MIN(1,(PeriodEnd-$C246+1)/(PeriodEnd-PeriodStart+1))),MAX(0,MIN(1,((YEAR(PeriodEnd)-YEAR($C246))*12+MONTH(PeriodEnd)-MONTH($C246)+1-IF(DAY($C246)&gt;MonthCutDay,1,0))/PeriodMonths))))))</f>
        <v/>
      </c>
      <c r="U246" s="47" t="str">
        <f aca="false">IF($P246="","",$S246*$T246)</f>
        <v/>
      </c>
      <c r="V246" s="49" t="str">
        <f aca="false">IF($P246="","",IF(ISNUMBER($E246),$E246,0)*$R246)</f>
        <v/>
      </c>
      <c r="W246" s="49" t="str">
        <f aca="false">IF($P246="","",IF(ISNUMBER($E246),$E246,0)*$S246)</f>
        <v/>
      </c>
      <c r="X246" s="49" t="str">
        <f aca="false">IF($P246="","",IF(ISNUMBER($E246),$E246,0)*$U246)</f>
        <v/>
      </c>
      <c r="Y246" s="49" t="str">
        <f aca="false">IF($P246="","",IF(AND(CapAtMax="Yes",$P246="Y"),MAX(0,MIN($X246,$K246-$E246)),$X246))</f>
        <v/>
      </c>
      <c r="Z246" s="41" t="str">
        <f aca="false">IF(OR($P246="",NOT(ISNUMBER($E246))),"",$E246+$Y246)</f>
        <v/>
      </c>
      <c r="AA246" s="42" t="str">
        <f aca="false">IF(AND(ISNUMBER(Z246),ISNUMBER(J246)),IF(J246&gt;0,Z246/J246,""),"")</f>
        <v/>
      </c>
      <c r="AB246" s="46" t="str">
        <f aca="false">IF($P246="","",TRIM(IF(AND($P246="Y",ISNUMBER(K246),ISNUMBER(Z246)),IF(Z246&gt;K246,"Above range max. ",""),"")&amp;IF(AND($P246="Y",ISNUMBER($X246),ISNUMBER($Y246)),IF($X246-$Y246&gt;0.005,"Capped at range max. ",""),"")&amp;IF(AND(AND(ISNUMBER($G246),$G246&gt;=0,$G246&lt;=1),$H246=""),"Override needs a reason. ","")&amp;IF(AND(AND(ISNUMBER($G246),$G246&gt;=0,$G246&lt;=1),$P246&lt;&gt;"Y"),"Override ignored. ","")&amp;IF(AND($G246&lt;&gt;"",NOT(AND(ISNUMBER($G246),$G246&gt;=0,$G246&lt;=1))),"Override not valid, ignored. ","")&amp;IF(AND($A246&lt;&gt;"",COUNTIF($A$5:$A$254,$A246)&gt;1),"Duplicate ID. ","")))</f>
        <v/>
      </c>
    </row>
    <row r="247" customFormat="false" ht="15" hidden="false" customHeight="false" outlineLevel="0" collapsed="false">
      <c r="A247" s="18"/>
      <c r="B247" s="38"/>
      <c r="C247" s="39"/>
      <c r="D247" s="38"/>
      <c r="E247" s="19"/>
      <c r="F247" s="38"/>
      <c r="G247" s="40"/>
      <c r="H247" s="18"/>
      <c r="I247" s="41" t="str">
        <f aca="false">IF(COUNTA($A247:$F247)=0,"",IF($B247="","",IFERROR(INDEX(Ranges!$B$5:$B$16,MATCH($B247,Ranges!$A$5:$A$16,0)),"")))</f>
        <v/>
      </c>
      <c r="J247" s="41" t="str">
        <f aca="false">IF(COUNTA($A247:$F247)=0,"",IF($B247="","",IFERROR(INDEX(Ranges!$C$5:$C$16,MATCH($B247,Ranges!$A$5:$A$16,0)),"")))</f>
        <v/>
      </c>
      <c r="K247" s="41" t="str">
        <f aca="false">IF(COUNTA($A247:$F247)=0,"",IF($B247="","",IFERROR(INDEX(Ranges!$D$5:$D$16,MATCH($B247,Ranges!$A$5:$A$16,0)),"")))</f>
        <v/>
      </c>
      <c r="L247" s="42" t="str">
        <f aca="false">IF(OR(NOT(ISNUMBER($E247)),NOT(ISNUMBER(J247))),"",IF(J247&gt;0,$E247/J247,""))</f>
        <v/>
      </c>
      <c r="M247" s="43" t="str">
        <f aca="false">IF(OR(NOT(ISNUMBER($E247)),NOT(ISNUMBER(I247)),NOT(ISNUMBER(K247))),"",IF(K247&gt;I247,($E247-I247)/(K247-I247),""))</f>
        <v/>
      </c>
      <c r="N247" s="42" t="str">
        <f aca="false">IF(Basis="Compa-ratio",L247,M247)</f>
        <v/>
      </c>
      <c r="O247" s="44" t="str">
        <f aca="false">IF(ISNUMBER(N247),IFERROR(MATCH(N247,Matrix!$C$9:$G$9,1),1),"")</f>
        <v/>
      </c>
      <c r="P247" s="45" t="str">
        <f aca="false">IF(COUNTA($A247:$F247)=0,"",IF(Q247="","Y","N"))</f>
        <v/>
      </c>
      <c r="Q247" s="46" t="str">
        <f aca="false">IF(COUNTA($A247:$F247)=0,"",IF($A247="","ID missing",IF(TRIM($F247)="Exclude","Excluded by plan status",IF(AND(TRIM($F247)&lt;&gt;"",TRIM($F247)&lt;&gt;"Include"),"Plan status not valid (use Include or Exclude)",IF(NOT(ISNUMBER($C247)),"Hire date missing or not a date",IF($C247&gt;Cutoff,"Hired after cutoff",IF(NOT(ISNUMBER($E247)),"Salary missing or not a number",IF($E247&lt;=0,"Salary missing or not a number",IF(OR(NOT(ISNUMBER(I247)),NOT(ISNUMBER(J247)),NOT(ISNUMBER(K247))),"Grade not found in Ranges",IF($D247="","Rating missing",IF($D247="NR","Not rated (NR)",IF(NOT(ISNUMBER(MATCH($D247,Matrix!$A$14:$A$18,0))),"Rating not valid (use 1 to 5 or NR)",IF(NOT(ISNUMBER(O247)),"Band not found (check range and limits)","")))))))))))))</f>
        <v/>
      </c>
      <c r="R247" s="47" t="str">
        <f aca="false">IF($P247="Y",INDEX(Matrix!$C$14:$G$18,MATCH($D247,Matrix!$A$14:$A$18,0),$O247),IF($P247="N",0,""))</f>
        <v/>
      </c>
      <c r="S247" s="47" t="str">
        <f aca="false">IF($P247="Y",IF(AND(ISNUMBER($G247),$G247&gt;=0,$G247&lt;=1),$G247,$R247),IF($P247="N",0,""))</f>
        <v/>
      </c>
      <c r="T247" s="48" t="str">
        <f aca="false">IF($P247&lt;&gt;"Y",IF($P247="N",0,""),IF(ProrateMethod="None",1,IF($C247&lt;=PeriodStart,1,IF(ProrateMethod="Daily",MAX(0,MIN(1,(PeriodEnd-$C247+1)/(PeriodEnd-PeriodStart+1))),MAX(0,MIN(1,((YEAR(PeriodEnd)-YEAR($C247))*12+MONTH(PeriodEnd)-MONTH($C247)+1-IF(DAY($C247)&gt;MonthCutDay,1,0))/PeriodMonths))))))</f>
        <v/>
      </c>
      <c r="U247" s="47" t="str">
        <f aca="false">IF($P247="","",$S247*$T247)</f>
        <v/>
      </c>
      <c r="V247" s="49" t="str">
        <f aca="false">IF($P247="","",IF(ISNUMBER($E247),$E247,0)*$R247)</f>
        <v/>
      </c>
      <c r="W247" s="49" t="str">
        <f aca="false">IF($P247="","",IF(ISNUMBER($E247),$E247,0)*$S247)</f>
        <v/>
      </c>
      <c r="X247" s="49" t="str">
        <f aca="false">IF($P247="","",IF(ISNUMBER($E247),$E247,0)*$U247)</f>
        <v/>
      </c>
      <c r="Y247" s="49" t="str">
        <f aca="false">IF($P247="","",IF(AND(CapAtMax="Yes",$P247="Y"),MAX(0,MIN($X247,$K247-$E247)),$X247))</f>
        <v/>
      </c>
      <c r="Z247" s="41" t="str">
        <f aca="false">IF(OR($P247="",NOT(ISNUMBER($E247))),"",$E247+$Y247)</f>
        <v/>
      </c>
      <c r="AA247" s="42" t="str">
        <f aca="false">IF(AND(ISNUMBER(Z247),ISNUMBER(J247)),IF(J247&gt;0,Z247/J247,""),"")</f>
        <v/>
      </c>
      <c r="AB247" s="46" t="str">
        <f aca="false">IF($P247="","",TRIM(IF(AND($P247="Y",ISNUMBER(K247),ISNUMBER(Z247)),IF(Z247&gt;K247,"Above range max. ",""),"")&amp;IF(AND($P247="Y",ISNUMBER($X247),ISNUMBER($Y247)),IF($X247-$Y247&gt;0.005,"Capped at range max. ",""),"")&amp;IF(AND(AND(ISNUMBER($G247),$G247&gt;=0,$G247&lt;=1),$H247=""),"Override needs a reason. ","")&amp;IF(AND(AND(ISNUMBER($G247),$G247&gt;=0,$G247&lt;=1),$P247&lt;&gt;"Y"),"Override ignored. ","")&amp;IF(AND($G247&lt;&gt;"",NOT(AND(ISNUMBER($G247),$G247&gt;=0,$G247&lt;=1))),"Override not valid, ignored. ","")&amp;IF(AND($A247&lt;&gt;"",COUNTIF($A$5:$A$254,$A247)&gt;1),"Duplicate ID. ","")))</f>
        <v/>
      </c>
    </row>
    <row r="248" customFormat="false" ht="15" hidden="false" customHeight="false" outlineLevel="0" collapsed="false">
      <c r="A248" s="18"/>
      <c r="B248" s="38"/>
      <c r="C248" s="39"/>
      <c r="D248" s="38"/>
      <c r="E248" s="19"/>
      <c r="F248" s="38"/>
      <c r="G248" s="40"/>
      <c r="H248" s="18"/>
      <c r="I248" s="41" t="str">
        <f aca="false">IF(COUNTA($A248:$F248)=0,"",IF($B248="","",IFERROR(INDEX(Ranges!$B$5:$B$16,MATCH($B248,Ranges!$A$5:$A$16,0)),"")))</f>
        <v/>
      </c>
      <c r="J248" s="41" t="str">
        <f aca="false">IF(COUNTA($A248:$F248)=0,"",IF($B248="","",IFERROR(INDEX(Ranges!$C$5:$C$16,MATCH($B248,Ranges!$A$5:$A$16,0)),"")))</f>
        <v/>
      </c>
      <c r="K248" s="41" t="str">
        <f aca="false">IF(COUNTA($A248:$F248)=0,"",IF($B248="","",IFERROR(INDEX(Ranges!$D$5:$D$16,MATCH($B248,Ranges!$A$5:$A$16,0)),"")))</f>
        <v/>
      </c>
      <c r="L248" s="42" t="str">
        <f aca="false">IF(OR(NOT(ISNUMBER($E248)),NOT(ISNUMBER(J248))),"",IF(J248&gt;0,$E248/J248,""))</f>
        <v/>
      </c>
      <c r="M248" s="43" t="str">
        <f aca="false">IF(OR(NOT(ISNUMBER($E248)),NOT(ISNUMBER(I248)),NOT(ISNUMBER(K248))),"",IF(K248&gt;I248,($E248-I248)/(K248-I248),""))</f>
        <v/>
      </c>
      <c r="N248" s="42" t="str">
        <f aca="false">IF(Basis="Compa-ratio",L248,M248)</f>
        <v/>
      </c>
      <c r="O248" s="44" t="str">
        <f aca="false">IF(ISNUMBER(N248),IFERROR(MATCH(N248,Matrix!$C$9:$G$9,1),1),"")</f>
        <v/>
      </c>
      <c r="P248" s="45" t="str">
        <f aca="false">IF(COUNTA($A248:$F248)=0,"",IF(Q248="","Y","N"))</f>
        <v/>
      </c>
      <c r="Q248" s="46" t="str">
        <f aca="false">IF(COUNTA($A248:$F248)=0,"",IF($A248="","ID missing",IF(TRIM($F248)="Exclude","Excluded by plan status",IF(AND(TRIM($F248)&lt;&gt;"",TRIM($F248)&lt;&gt;"Include"),"Plan status not valid (use Include or Exclude)",IF(NOT(ISNUMBER($C248)),"Hire date missing or not a date",IF($C248&gt;Cutoff,"Hired after cutoff",IF(NOT(ISNUMBER($E248)),"Salary missing or not a number",IF($E248&lt;=0,"Salary missing or not a number",IF(OR(NOT(ISNUMBER(I248)),NOT(ISNUMBER(J248)),NOT(ISNUMBER(K248))),"Grade not found in Ranges",IF($D248="","Rating missing",IF($D248="NR","Not rated (NR)",IF(NOT(ISNUMBER(MATCH($D248,Matrix!$A$14:$A$18,0))),"Rating not valid (use 1 to 5 or NR)",IF(NOT(ISNUMBER(O248)),"Band not found (check range and limits)","")))))))))))))</f>
        <v/>
      </c>
      <c r="R248" s="47" t="str">
        <f aca="false">IF($P248="Y",INDEX(Matrix!$C$14:$G$18,MATCH($D248,Matrix!$A$14:$A$18,0),$O248),IF($P248="N",0,""))</f>
        <v/>
      </c>
      <c r="S248" s="47" t="str">
        <f aca="false">IF($P248="Y",IF(AND(ISNUMBER($G248),$G248&gt;=0,$G248&lt;=1),$G248,$R248),IF($P248="N",0,""))</f>
        <v/>
      </c>
      <c r="T248" s="48" t="str">
        <f aca="false">IF($P248&lt;&gt;"Y",IF($P248="N",0,""),IF(ProrateMethod="None",1,IF($C248&lt;=PeriodStart,1,IF(ProrateMethod="Daily",MAX(0,MIN(1,(PeriodEnd-$C248+1)/(PeriodEnd-PeriodStart+1))),MAX(0,MIN(1,((YEAR(PeriodEnd)-YEAR($C248))*12+MONTH(PeriodEnd)-MONTH($C248)+1-IF(DAY($C248)&gt;MonthCutDay,1,0))/PeriodMonths))))))</f>
        <v/>
      </c>
      <c r="U248" s="47" t="str">
        <f aca="false">IF($P248="","",$S248*$T248)</f>
        <v/>
      </c>
      <c r="V248" s="49" t="str">
        <f aca="false">IF($P248="","",IF(ISNUMBER($E248),$E248,0)*$R248)</f>
        <v/>
      </c>
      <c r="W248" s="49" t="str">
        <f aca="false">IF($P248="","",IF(ISNUMBER($E248),$E248,0)*$S248)</f>
        <v/>
      </c>
      <c r="X248" s="49" t="str">
        <f aca="false">IF($P248="","",IF(ISNUMBER($E248),$E248,0)*$U248)</f>
        <v/>
      </c>
      <c r="Y248" s="49" t="str">
        <f aca="false">IF($P248="","",IF(AND(CapAtMax="Yes",$P248="Y"),MAX(0,MIN($X248,$K248-$E248)),$X248))</f>
        <v/>
      </c>
      <c r="Z248" s="41" t="str">
        <f aca="false">IF(OR($P248="",NOT(ISNUMBER($E248))),"",$E248+$Y248)</f>
        <v/>
      </c>
      <c r="AA248" s="42" t="str">
        <f aca="false">IF(AND(ISNUMBER(Z248),ISNUMBER(J248)),IF(J248&gt;0,Z248/J248,""),"")</f>
        <v/>
      </c>
      <c r="AB248" s="46" t="str">
        <f aca="false">IF($P248="","",TRIM(IF(AND($P248="Y",ISNUMBER(K248),ISNUMBER(Z248)),IF(Z248&gt;K248,"Above range max. ",""),"")&amp;IF(AND($P248="Y",ISNUMBER($X248),ISNUMBER($Y248)),IF($X248-$Y248&gt;0.005,"Capped at range max. ",""),"")&amp;IF(AND(AND(ISNUMBER($G248),$G248&gt;=0,$G248&lt;=1),$H248=""),"Override needs a reason. ","")&amp;IF(AND(AND(ISNUMBER($G248),$G248&gt;=0,$G248&lt;=1),$P248&lt;&gt;"Y"),"Override ignored. ","")&amp;IF(AND($G248&lt;&gt;"",NOT(AND(ISNUMBER($G248),$G248&gt;=0,$G248&lt;=1))),"Override not valid, ignored. ","")&amp;IF(AND($A248&lt;&gt;"",COUNTIF($A$5:$A$254,$A248)&gt;1),"Duplicate ID. ","")))</f>
        <v/>
      </c>
    </row>
    <row r="249" customFormat="false" ht="15" hidden="false" customHeight="false" outlineLevel="0" collapsed="false">
      <c r="A249" s="18"/>
      <c r="B249" s="38"/>
      <c r="C249" s="39"/>
      <c r="D249" s="38"/>
      <c r="E249" s="19"/>
      <c r="F249" s="38"/>
      <c r="G249" s="40"/>
      <c r="H249" s="18"/>
      <c r="I249" s="41" t="str">
        <f aca="false">IF(COUNTA($A249:$F249)=0,"",IF($B249="","",IFERROR(INDEX(Ranges!$B$5:$B$16,MATCH($B249,Ranges!$A$5:$A$16,0)),"")))</f>
        <v/>
      </c>
      <c r="J249" s="41" t="str">
        <f aca="false">IF(COUNTA($A249:$F249)=0,"",IF($B249="","",IFERROR(INDEX(Ranges!$C$5:$C$16,MATCH($B249,Ranges!$A$5:$A$16,0)),"")))</f>
        <v/>
      </c>
      <c r="K249" s="41" t="str">
        <f aca="false">IF(COUNTA($A249:$F249)=0,"",IF($B249="","",IFERROR(INDEX(Ranges!$D$5:$D$16,MATCH($B249,Ranges!$A$5:$A$16,0)),"")))</f>
        <v/>
      </c>
      <c r="L249" s="42" t="str">
        <f aca="false">IF(OR(NOT(ISNUMBER($E249)),NOT(ISNUMBER(J249))),"",IF(J249&gt;0,$E249/J249,""))</f>
        <v/>
      </c>
      <c r="M249" s="43" t="str">
        <f aca="false">IF(OR(NOT(ISNUMBER($E249)),NOT(ISNUMBER(I249)),NOT(ISNUMBER(K249))),"",IF(K249&gt;I249,($E249-I249)/(K249-I249),""))</f>
        <v/>
      </c>
      <c r="N249" s="42" t="str">
        <f aca="false">IF(Basis="Compa-ratio",L249,M249)</f>
        <v/>
      </c>
      <c r="O249" s="44" t="str">
        <f aca="false">IF(ISNUMBER(N249),IFERROR(MATCH(N249,Matrix!$C$9:$G$9,1),1),"")</f>
        <v/>
      </c>
      <c r="P249" s="45" t="str">
        <f aca="false">IF(COUNTA($A249:$F249)=0,"",IF(Q249="","Y","N"))</f>
        <v/>
      </c>
      <c r="Q249" s="46" t="str">
        <f aca="false">IF(COUNTA($A249:$F249)=0,"",IF($A249="","ID missing",IF(TRIM($F249)="Exclude","Excluded by plan status",IF(AND(TRIM($F249)&lt;&gt;"",TRIM($F249)&lt;&gt;"Include"),"Plan status not valid (use Include or Exclude)",IF(NOT(ISNUMBER($C249)),"Hire date missing or not a date",IF($C249&gt;Cutoff,"Hired after cutoff",IF(NOT(ISNUMBER($E249)),"Salary missing or not a number",IF($E249&lt;=0,"Salary missing or not a number",IF(OR(NOT(ISNUMBER(I249)),NOT(ISNUMBER(J249)),NOT(ISNUMBER(K249))),"Grade not found in Ranges",IF($D249="","Rating missing",IF($D249="NR","Not rated (NR)",IF(NOT(ISNUMBER(MATCH($D249,Matrix!$A$14:$A$18,0))),"Rating not valid (use 1 to 5 or NR)",IF(NOT(ISNUMBER(O249)),"Band not found (check range and limits)","")))))))))))))</f>
        <v/>
      </c>
      <c r="R249" s="47" t="str">
        <f aca="false">IF($P249="Y",INDEX(Matrix!$C$14:$G$18,MATCH($D249,Matrix!$A$14:$A$18,0),$O249),IF($P249="N",0,""))</f>
        <v/>
      </c>
      <c r="S249" s="47" t="str">
        <f aca="false">IF($P249="Y",IF(AND(ISNUMBER($G249),$G249&gt;=0,$G249&lt;=1),$G249,$R249),IF($P249="N",0,""))</f>
        <v/>
      </c>
      <c r="T249" s="48" t="str">
        <f aca="false">IF($P249&lt;&gt;"Y",IF($P249="N",0,""),IF(ProrateMethod="None",1,IF($C249&lt;=PeriodStart,1,IF(ProrateMethod="Daily",MAX(0,MIN(1,(PeriodEnd-$C249+1)/(PeriodEnd-PeriodStart+1))),MAX(0,MIN(1,((YEAR(PeriodEnd)-YEAR($C249))*12+MONTH(PeriodEnd)-MONTH($C249)+1-IF(DAY($C249)&gt;MonthCutDay,1,0))/PeriodMonths))))))</f>
        <v/>
      </c>
      <c r="U249" s="47" t="str">
        <f aca="false">IF($P249="","",$S249*$T249)</f>
        <v/>
      </c>
      <c r="V249" s="49" t="str">
        <f aca="false">IF($P249="","",IF(ISNUMBER($E249),$E249,0)*$R249)</f>
        <v/>
      </c>
      <c r="W249" s="49" t="str">
        <f aca="false">IF($P249="","",IF(ISNUMBER($E249),$E249,0)*$S249)</f>
        <v/>
      </c>
      <c r="X249" s="49" t="str">
        <f aca="false">IF($P249="","",IF(ISNUMBER($E249),$E249,0)*$U249)</f>
        <v/>
      </c>
      <c r="Y249" s="49" t="str">
        <f aca="false">IF($P249="","",IF(AND(CapAtMax="Yes",$P249="Y"),MAX(0,MIN($X249,$K249-$E249)),$X249))</f>
        <v/>
      </c>
      <c r="Z249" s="41" t="str">
        <f aca="false">IF(OR($P249="",NOT(ISNUMBER($E249))),"",$E249+$Y249)</f>
        <v/>
      </c>
      <c r="AA249" s="42" t="str">
        <f aca="false">IF(AND(ISNUMBER(Z249),ISNUMBER(J249)),IF(J249&gt;0,Z249/J249,""),"")</f>
        <v/>
      </c>
      <c r="AB249" s="46" t="str">
        <f aca="false">IF($P249="","",TRIM(IF(AND($P249="Y",ISNUMBER(K249),ISNUMBER(Z249)),IF(Z249&gt;K249,"Above range max. ",""),"")&amp;IF(AND($P249="Y",ISNUMBER($X249),ISNUMBER($Y249)),IF($X249-$Y249&gt;0.005,"Capped at range max. ",""),"")&amp;IF(AND(AND(ISNUMBER($G249),$G249&gt;=0,$G249&lt;=1),$H249=""),"Override needs a reason. ","")&amp;IF(AND(AND(ISNUMBER($G249),$G249&gt;=0,$G249&lt;=1),$P249&lt;&gt;"Y"),"Override ignored. ","")&amp;IF(AND($G249&lt;&gt;"",NOT(AND(ISNUMBER($G249),$G249&gt;=0,$G249&lt;=1))),"Override not valid, ignored. ","")&amp;IF(AND($A249&lt;&gt;"",COUNTIF($A$5:$A$254,$A249)&gt;1),"Duplicate ID. ","")))</f>
        <v/>
      </c>
    </row>
    <row r="250" customFormat="false" ht="15" hidden="false" customHeight="false" outlineLevel="0" collapsed="false">
      <c r="A250" s="18"/>
      <c r="B250" s="38"/>
      <c r="C250" s="39"/>
      <c r="D250" s="38"/>
      <c r="E250" s="19"/>
      <c r="F250" s="38"/>
      <c r="G250" s="40"/>
      <c r="H250" s="18"/>
      <c r="I250" s="41" t="str">
        <f aca="false">IF(COUNTA($A250:$F250)=0,"",IF($B250="","",IFERROR(INDEX(Ranges!$B$5:$B$16,MATCH($B250,Ranges!$A$5:$A$16,0)),"")))</f>
        <v/>
      </c>
      <c r="J250" s="41" t="str">
        <f aca="false">IF(COUNTA($A250:$F250)=0,"",IF($B250="","",IFERROR(INDEX(Ranges!$C$5:$C$16,MATCH($B250,Ranges!$A$5:$A$16,0)),"")))</f>
        <v/>
      </c>
      <c r="K250" s="41" t="str">
        <f aca="false">IF(COUNTA($A250:$F250)=0,"",IF($B250="","",IFERROR(INDEX(Ranges!$D$5:$D$16,MATCH($B250,Ranges!$A$5:$A$16,0)),"")))</f>
        <v/>
      </c>
      <c r="L250" s="42" t="str">
        <f aca="false">IF(OR(NOT(ISNUMBER($E250)),NOT(ISNUMBER(J250))),"",IF(J250&gt;0,$E250/J250,""))</f>
        <v/>
      </c>
      <c r="M250" s="43" t="str">
        <f aca="false">IF(OR(NOT(ISNUMBER($E250)),NOT(ISNUMBER(I250)),NOT(ISNUMBER(K250))),"",IF(K250&gt;I250,($E250-I250)/(K250-I250),""))</f>
        <v/>
      </c>
      <c r="N250" s="42" t="str">
        <f aca="false">IF(Basis="Compa-ratio",L250,M250)</f>
        <v/>
      </c>
      <c r="O250" s="44" t="str">
        <f aca="false">IF(ISNUMBER(N250),IFERROR(MATCH(N250,Matrix!$C$9:$G$9,1),1),"")</f>
        <v/>
      </c>
      <c r="P250" s="45" t="str">
        <f aca="false">IF(COUNTA($A250:$F250)=0,"",IF(Q250="","Y","N"))</f>
        <v/>
      </c>
      <c r="Q250" s="46" t="str">
        <f aca="false">IF(COUNTA($A250:$F250)=0,"",IF($A250="","ID missing",IF(TRIM($F250)="Exclude","Excluded by plan status",IF(AND(TRIM($F250)&lt;&gt;"",TRIM($F250)&lt;&gt;"Include"),"Plan status not valid (use Include or Exclude)",IF(NOT(ISNUMBER($C250)),"Hire date missing or not a date",IF($C250&gt;Cutoff,"Hired after cutoff",IF(NOT(ISNUMBER($E250)),"Salary missing or not a number",IF($E250&lt;=0,"Salary missing or not a number",IF(OR(NOT(ISNUMBER(I250)),NOT(ISNUMBER(J250)),NOT(ISNUMBER(K250))),"Grade not found in Ranges",IF($D250="","Rating missing",IF($D250="NR","Not rated (NR)",IF(NOT(ISNUMBER(MATCH($D250,Matrix!$A$14:$A$18,0))),"Rating not valid (use 1 to 5 or NR)",IF(NOT(ISNUMBER(O250)),"Band not found (check range and limits)","")))))))))))))</f>
        <v/>
      </c>
      <c r="R250" s="47" t="str">
        <f aca="false">IF($P250="Y",INDEX(Matrix!$C$14:$G$18,MATCH($D250,Matrix!$A$14:$A$18,0),$O250),IF($P250="N",0,""))</f>
        <v/>
      </c>
      <c r="S250" s="47" t="str">
        <f aca="false">IF($P250="Y",IF(AND(ISNUMBER($G250),$G250&gt;=0,$G250&lt;=1),$G250,$R250),IF($P250="N",0,""))</f>
        <v/>
      </c>
      <c r="T250" s="48" t="str">
        <f aca="false">IF($P250&lt;&gt;"Y",IF($P250="N",0,""),IF(ProrateMethod="None",1,IF($C250&lt;=PeriodStart,1,IF(ProrateMethod="Daily",MAX(0,MIN(1,(PeriodEnd-$C250+1)/(PeriodEnd-PeriodStart+1))),MAX(0,MIN(1,((YEAR(PeriodEnd)-YEAR($C250))*12+MONTH(PeriodEnd)-MONTH($C250)+1-IF(DAY($C250)&gt;MonthCutDay,1,0))/PeriodMonths))))))</f>
        <v/>
      </c>
      <c r="U250" s="47" t="str">
        <f aca="false">IF($P250="","",$S250*$T250)</f>
        <v/>
      </c>
      <c r="V250" s="49" t="str">
        <f aca="false">IF($P250="","",IF(ISNUMBER($E250),$E250,0)*$R250)</f>
        <v/>
      </c>
      <c r="W250" s="49" t="str">
        <f aca="false">IF($P250="","",IF(ISNUMBER($E250),$E250,0)*$S250)</f>
        <v/>
      </c>
      <c r="X250" s="49" t="str">
        <f aca="false">IF($P250="","",IF(ISNUMBER($E250),$E250,0)*$U250)</f>
        <v/>
      </c>
      <c r="Y250" s="49" t="str">
        <f aca="false">IF($P250="","",IF(AND(CapAtMax="Yes",$P250="Y"),MAX(0,MIN($X250,$K250-$E250)),$X250))</f>
        <v/>
      </c>
      <c r="Z250" s="41" t="str">
        <f aca="false">IF(OR($P250="",NOT(ISNUMBER($E250))),"",$E250+$Y250)</f>
        <v/>
      </c>
      <c r="AA250" s="42" t="str">
        <f aca="false">IF(AND(ISNUMBER(Z250),ISNUMBER(J250)),IF(J250&gt;0,Z250/J250,""),"")</f>
        <v/>
      </c>
      <c r="AB250" s="46" t="str">
        <f aca="false">IF($P250="","",TRIM(IF(AND($P250="Y",ISNUMBER(K250),ISNUMBER(Z250)),IF(Z250&gt;K250,"Above range max. ",""),"")&amp;IF(AND($P250="Y",ISNUMBER($X250),ISNUMBER($Y250)),IF($X250-$Y250&gt;0.005,"Capped at range max. ",""),"")&amp;IF(AND(AND(ISNUMBER($G250),$G250&gt;=0,$G250&lt;=1),$H250=""),"Override needs a reason. ","")&amp;IF(AND(AND(ISNUMBER($G250),$G250&gt;=0,$G250&lt;=1),$P250&lt;&gt;"Y"),"Override ignored. ","")&amp;IF(AND($G250&lt;&gt;"",NOT(AND(ISNUMBER($G250),$G250&gt;=0,$G250&lt;=1))),"Override not valid, ignored. ","")&amp;IF(AND($A250&lt;&gt;"",COUNTIF($A$5:$A$254,$A250)&gt;1),"Duplicate ID. ","")))</f>
        <v/>
      </c>
    </row>
    <row r="251" customFormat="false" ht="15" hidden="false" customHeight="false" outlineLevel="0" collapsed="false">
      <c r="A251" s="18"/>
      <c r="B251" s="38"/>
      <c r="C251" s="39"/>
      <c r="D251" s="38"/>
      <c r="E251" s="19"/>
      <c r="F251" s="38"/>
      <c r="G251" s="40"/>
      <c r="H251" s="18"/>
      <c r="I251" s="41" t="str">
        <f aca="false">IF(COUNTA($A251:$F251)=0,"",IF($B251="","",IFERROR(INDEX(Ranges!$B$5:$B$16,MATCH($B251,Ranges!$A$5:$A$16,0)),"")))</f>
        <v/>
      </c>
      <c r="J251" s="41" t="str">
        <f aca="false">IF(COUNTA($A251:$F251)=0,"",IF($B251="","",IFERROR(INDEX(Ranges!$C$5:$C$16,MATCH($B251,Ranges!$A$5:$A$16,0)),"")))</f>
        <v/>
      </c>
      <c r="K251" s="41" t="str">
        <f aca="false">IF(COUNTA($A251:$F251)=0,"",IF($B251="","",IFERROR(INDEX(Ranges!$D$5:$D$16,MATCH($B251,Ranges!$A$5:$A$16,0)),"")))</f>
        <v/>
      </c>
      <c r="L251" s="42" t="str">
        <f aca="false">IF(OR(NOT(ISNUMBER($E251)),NOT(ISNUMBER(J251))),"",IF(J251&gt;0,$E251/J251,""))</f>
        <v/>
      </c>
      <c r="M251" s="43" t="str">
        <f aca="false">IF(OR(NOT(ISNUMBER($E251)),NOT(ISNUMBER(I251)),NOT(ISNUMBER(K251))),"",IF(K251&gt;I251,($E251-I251)/(K251-I251),""))</f>
        <v/>
      </c>
      <c r="N251" s="42" t="str">
        <f aca="false">IF(Basis="Compa-ratio",L251,M251)</f>
        <v/>
      </c>
      <c r="O251" s="44" t="str">
        <f aca="false">IF(ISNUMBER(N251),IFERROR(MATCH(N251,Matrix!$C$9:$G$9,1),1),"")</f>
        <v/>
      </c>
      <c r="P251" s="45" t="str">
        <f aca="false">IF(COUNTA($A251:$F251)=0,"",IF(Q251="","Y","N"))</f>
        <v/>
      </c>
      <c r="Q251" s="46" t="str">
        <f aca="false">IF(COUNTA($A251:$F251)=0,"",IF($A251="","ID missing",IF(TRIM($F251)="Exclude","Excluded by plan status",IF(AND(TRIM($F251)&lt;&gt;"",TRIM($F251)&lt;&gt;"Include"),"Plan status not valid (use Include or Exclude)",IF(NOT(ISNUMBER($C251)),"Hire date missing or not a date",IF($C251&gt;Cutoff,"Hired after cutoff",IF(NOT(ISNUMBER($E251)),"Salary missing or not a number",IF($E251&lt;=0,"Salary missing or not a number",IF(OR(NOT(ISNUMBER(I251)),NOT(ISNUMBER(J251)),NOT(ISNUMBER(K251))),"Grade not found in Ranges",IF($D251="","Rating missing",IF($D251="NR","Not rated (NR)",IF(NOT(ISNUMBER(MATCH($D251,Matrix!$A$14:$A$18,0))),"Rating not valid (use 1 to 5 or NR)",IF(NOT(ISNUMBER(O251)),"Band not found (check range and limits)","")))))))))))))</f>
        <v/>
      </c>
      <c r="R251" s="47" t="str">
        <f aca="false">IF($P251="Y",INDEX(Matrix!$C$14:$G$18,MATCH($D251,Matrix!$A$14:$A$18,0),$O251),IF($P251="N",0,""))</f>
        <v/>
      </c>
      <c r="S251" s="47" t="str">
        <f aca="false">IF($P251="Y",IF(AND(ISNUMBER($G251),$G251&gt;=0,$G251&lt;=1),$G251,$R251),IF($P251="N",0,""))</f>
        <v/>
      </c>
      <c r="T251" s="48" t="str">
        <f aca="false">IF($P251&lt;&gt;"Y",IF($P251="N",0,""),IF(ProrateMethod="None",1,IF($C251&lt;=PeriodStart,1,IF(ProrateMethod="Daily",MAX(0,MIN(1,(PeriodEnd-$C251+1)/(PeriodEnd-PeriodStart+1))),MAX(0,MIN(1,((YEAR(PeriodEnd)-YEAR($C251))*12+MONTH(PeriodEnd)-MONTH($C251)+1-IF(DAY($C251)&gt;MonthCutDay,1,0))/PeriodMonths))))))</f>
        <v/>
      </c>
      <c r="U251" s="47" t="str">
        <f aca="false">IF($P251="","",$S251*$T251)</f>
        <v/>
      </c>
      <c r="V251" s="49" t="str">
        <f aca="false">IF($P251="","",IF(ISNUMBER($E251),$E251,0)*$R251)</f>
        <v/>
      </c>
      <c r="W251" s="49" t="str">
        <f aca="false">IF($P251="","",IF(ISNUMBER($E251),$E251,0)*$S251)</f>
        <v/>
      </c>
      <c r="X251" s="49" t="str">
        <f aca="false">IF($P251="","",IF(ISNUMBER($E251),$E251,0)*$U251)</f>
        <v/>
      </c>
      <c r="Y251" s="49" t="str">
        <f aca="false">IF($P251="","",IF(AND(CapAtMax="Yes",$P251="Y"),MAX(0,MIN($X251,$K251-$E251)),$X251))</f>
        <v/>
      </c>
      <c r="Z251" s="41" t="str">
        <f aca="false">IF(OR($P251="",NOT(ISNUMBER($E251))),"",$E251+$Y251)</f>
        <v/>
      </c>
      <c r="AA251" s="42" t="str">
        <f aca="false">IF(AND(ISNUMBER(Z251),ISNUMBER(J251)),IF(J251&gt;0,Z251/J251,""),"")</f>
        <v/>
      </c>
      <c r="AB251" s="46" t="str">
        <f aca="false">IF($P251="","",TRIM(IF(AND($P251="Y",ISNUMBER(K251),ISNUMBER(Z251)),IF(Z251&gt;K251,"Above range max. ",""),"")&amp;IF(AND($P251="Y",ISNUMBER($X251),ISNUMBER($Y251)),IF($X251-$Y251&gt;0.005,"Capped at range max. ",""),"")&amp;IF(AND(AND(ISNUMBER($G251),$G251&gt;=0,$G251&lt;=1),$H251=""),"Override needs a reason. ","")&amp;IF(AND(AND(ISNUMBER($G251),$G251&gt;=0,$G251&lt;=1),$P251&lt;&gt;"Y"),"Override ignored. ","")&amp;IF(AND($G251&lt;&gt;"",NOT(AND(ISNUMBER($G251),$G251&gt;=0,$G251&lt;=1))),"Override not valid, ignored. ","")&amp;IF(AND($A251&lt;&gt;"",COUNTIF($A$5:$A$254,$A251)&gt;1),"Duplicate ID. ","")))</f>
        <v/>
      </c>
    </row>
    <row r="252" customFormat="false" ht="15" hidden="false" customHeight="false" outlineLevel="0" collapsed="false">
      <c r="A252" s="18"/>
      <c r="B252" s="38"/>
      <c r="C252" s="39"/>
      <c r="D252" s="38"/>
      <c r="E252" s="19"/>
      <c r="F252" s="38"/>
      <c r="G252" s="40"/>
      <c r="H252" s="18"/>
      <c r="I252" s="41" t="str">
        <f aca="false">IF(COUNTA($A252:$F252)=0,"",IF($B252="","",IFERROR(INDEX(Ranges!$B$5:$B$16,MATCH($B252,Ranges!$A$5:$A$16,0)),"")))</f>
        <v/>
      </c>
      <c r="J252" s="41" t="str">
        <f aca="false">IF(COUNTA($A252:$F252)=0,"",IF($B252="","",IFERROR(INDEX(Ranges!$C$5:$C$16,MATCH($B252,Ranges!$A$5:$A$16,0)),"")))</f>
        <v/>
      </c>
      <c r="K252" s="41" t="str">
        <f aca="false">IF(COUNTA($A252:$F252)=0,"",IF($B252="","",IFERROR(INDEX(Ranges!$D$5:$D$16,MATCH($B252,Ranges!$A$5:$A$16,0)),"")))</f>
        <v/>
      </c>
      <c r="L252" s="42" t="str">
        <f aca="false">IF(OR(NOT(ISNUMBER($E252)),NOT(ISNUMBER(J252))),"",IF(J252&gt;0,$E252/J252,""))</f>
        <v/>
      </c>
      <c r="M252" s="43" t="str">
        <f aca="false">IF(OR(NOT(ISNUMBER($E252)),NOT(ISNUMBER(I252)),NOT(ISNUMBER(K252))),"",IF(K252&gt;I252,($E252-I252)/(K252-I252),""))</f>
        <v/>
      </c>
      <c r="N252" s="42" t="str">
        <f aca="false">IF(Basis="Compa-ratio",L252,M252)</f>
        <v/>
      </c>
      <c r="O252" s="44" t="str">
        <f aca="false">IF(ISNUMBER(N252),IFERROR(MATCH(N252,Matrix!$C$9:$G$9,1),1),"")</f>
        <v/>
      </c>
      <c r="P252" s="45" t="str">
        <f aca="false">IF(COUNTA($A252:$F252)=0,"",IF(Q252="","Y","N"))</f>
        <v/>
      </c>
      <c r="Q252" s="46" t="str">
        <f aca="false">IF(COUNTA($A252:$F252)=0,"",IF($A252="","ID missing",IF(TRIM($F252)="Exclude","Excluded by plan status",IF(AND(TRIM($F252)&lt;&gt;"",TRIM($F252)&lt;&gt;"Include"),"Plan status not valid (use Include or Exclude)",IF(NOT(ISNUMBER($C252)),"Hire date missing or not a date",IF($C252&gt;Cutoff,"Hired after cutoff",IF(NOT(ISNUMBER($E252)),"Salary missing or not a number",IF($E252&lt;=0,"Salary missing or not a number",IF(OR(NOT(ISNUMBER(I252)),NOT(ISNUMBER(J252)),NOT(ISNUMBER(K252))),"Grade not found in Ranges",IF($D252="","Rating missing",IF($D252="NR","Not rated (NR)",IF(NOT(ISNUMBER(MATCH($D252,Matrix!$A$14:$A$18,0))),"Rating not valid (use 1 to 5 or NR)",IF(NOT(ISNUMBER(O252)),"Band not found (check range and limits)","")))))))))))))</f>
        <v/>
      </c>
      <c r="R252" s="47" t="str">
        <f aca="false">IF($P252="Y",INDEX(Matrix!$C$14:$G$18,MATCH($D252,Matrix!$A$14:$A$18,0),$O252),IF($P252="N",0,""))</f>
        <v/>
      </c>
      <c r="S252" s="47" t="str">
        <f aca="false">IF($P252="Y",IF(AND(ISNUMBER($G252),$G252&gt;=0,$G252&lt;=1),$G252,$R252),IF($P252="N",0,""))</f>
        <v/>
      </c>
      <c r="T252" s="48" t="str">
        <f aca="false">IF($P252&lt;&gt;"Y",IF($P252="N",0,""),IF(ProrateMethod="None",1,IF($C252&lt;=PeriodStart,1,IF(ProrateMethod="Daily",MAX(0,MIN(1,(PeriodEnd-$C252+1)/(PeriodEnd-PeriodStart+1))),MAX(0,MIN(1,((YEAR(PeriodEnd)-YEAR($C252))*12+MONTH(PeriodEnd)-MONTH($C252)+1-IF(DAY($C252)&gt;MonthCutDay,1,0))/PeriodMonths))))))</f>
        <v/>
      </c>
      <c r="U252" s="47" t="str">
        <f aca="false">IF($P252="","",$S252*$T252)</f>
        <v/>
      </c>
      <c r="V252" s="49" t="str">
        <f aca="false">IF($P252="","",IF(ISNUMBER($E252),$E252,0)*$R252)</f>
        <v/>
      </c>
      <c r="W252" s="49" t="str">
        <f aca="false">IF($P252="","",IF(ISNUMBER($E252),$E252,0)*$S252)</f>
        <v/>
      </c>
      <c r="X252" s="49" t="str">
        <f aca="false">IF($P252="","",IF(ISNUMBER($E252),$E252,0)*$U252)</f>
        <v/>
      </c>
      <c r="Y252" s="49" t="str">
        <f aca="false">IF($P252="","",IF(AND(CapAtMax="Yes",$P252="Y"),MAX(0,MIN($X252,$K252-$E252)),$X252))</f>
        <v/>
      </c>
      <c r="Z252" s="41" t="str">
        <f aca="false">IF(OR($P252="",NOT(ISNUMBER($E252))),"",$E252+$Y252)</f>
        <v/>
      </c>
      <c r="AA252" s="42" t="str">
        <f aca="false">IF(AND(ISNUMBER(Z252),ISNUMBER(J252)),IF(J252&gt;0,Z252/J252,""),"")</f>
        <v/>
      </c>
      <c r="AB252" s="46" t="str">
        <f aca="false">IF($P252="","",TRIM(IF(AND($P252="Y",ISNUMBER(K252),ISNUMBER(Z252)),IF(Z252&gt;K252,"Above range max. ",""),"")&amp;IF(AND($P252="Y",ISNUMBER($X252),ISNUMBER($Y252)),IF($X252-$Y252&gt;0.005,"Capped at range max. ",""),"")&amp;IF(AND(AND(ISNUMBER($G252),$G252&gt;=0,$G252&lt;=1),$H252=""),"Override needs a reason. ","")&amp;IF(AND(AND(ISNUMBER($G252),$G252&gt;=0,$G252&lt;=1),$P252&lt;&gt;"Y"),"Override ignored. ","")&amp;IF(AND($G252&lt;&gt;"",NOT(AND(ISNUMBER($G252),$G252&gt;=0,$G252&lt;=1))),"Override not valid, ignored. ","")&amp;IF(AND($A252&lt;&gt;"",COUNTIF($A$5:$A$254,$A252)&gt;1),"Duplicate ID. ","")))</f>
        <v/>
      </c>
    </row>
    <row r="253" customFormat="false" ht="15" hidden="false" customHeight="false" outlineLevel="0" collapsed="false">
      <c r="A253" s="18"/>
      <c r="B253" s="38"/>
      <c r="C253" s="39"/>
      <c r="D253" s="38"/>
      <c r="E253" s="19"/>
      <c r="F253" s="38"/>
      <c r="G253" s="40"/>
      <c r="H253" s="18"/>
      <c r="I253" s="41" t="str">
        <f aca="false">IF(COUNTA($A253:$F253)=0,"",IF($B253="","",IFERROR(INDEX(Ranges!$B$5:$B$16,MATCH($B253,Ranges!$A$5:$A$16,0)),"")))</f>
        <v/>
      </c>
      <c r="J253" s="41" t="str">
        <f aca="false">IF(COUNTA($A253:$F253)=0,"",IF($B253="","",IFERROR(INDEX(Ranges!$C$5:$C$16,MATCH($B253,Ranges!$A$5:$A$16,0)),"")))</f>
        <v/>
      </c>
      <c r="K253" s="41" t="str">
        <f aca="false">IF(COUNTA($A253:$F253)=0,"",IF($B253="","",IFERROR(INDEX(Ranges!$D$5:$D$16,MATCH($B253,Ranges!$A$5:$A$16,0)),"")))</f>
        <v/>
      </c>
      <c r="L253" s="42" t="str">
        <f aca="false">IF(OR(NOT(ISNUMBER($E253)),NOT(ISNUMBER(J253))),"",IF(J253&gt;0,$E253/J253,""))</f>
        <v/>
      </c>
      <c r="M253" s="43" t="str">
        <f aca="false">IF(OR(NOT(ISNUMBER($E253)),NOT(ISNUMBER(I253)),NOT(ISNUMBER(K253))),"",IF(K253&gt;I253,($E253-I253)/(K253-I253),""))</f>
        <v/>
      </c>
      <c r="N253" s="42" t="str">
        <f aca="false">IF(Basis="Compa-ratio",L253,M253)</f>
        <v/>
      </c>
      <c r="O253" s="44" t="str">
        <f aca="false">IF(ISNUMBER(N253),IFERROR(MATCH(N253,Matrix!$C$9:$G$9,1),1),"")</f>
        <v/>
      </c>
      <c r="P253" s="45" t="str">
        <f aca="false">IF(COUNTA($A253:$F253)=0,"",IF(Q253="","Y","N"))</f>
        <v/>
      </c>
      <c r="Q253" s="46" t="str">
        <f aca="false">IF(COUNTA($A253:$F253)=0,"",IF($A253="","ID missing",IF(TRIM($F253)="Exclude","Excluded by plan status",IF(AND(TRIM($F253)&lt;&gt;"",TRIM($F253)&lt;&gt;"Include"),"Plan status not valid (use Include or Exclude)",IF(NOT(ISNUMBER($C253)),"Hire date missing or not a date",IF($C253&gt;Cutoff,"Hired after cutoff",IF(NOT(ISNUMBER($E253)),"Salary missing or not a number",IF($E253&lt;=0,"Salary missing or not a number",IF(OR(NOT(ISNUMBER(I253)),NOT(ISNUMBER(J253)),NOT(ISNUMBER(K253))),"Grade not found in Ranges",IF($D253="","Rating missing",IF($D253="NR","Not rated (NR)",IF(NOT(ISNUMBER(MATCH($D253,Matrix!$A$14:$A$18,0))),"Rating not valid (use 1 to 5 or NR)",IF(NOT(ISNUMBER(O253)),"Band not found (check range and limits)","")))))))))))))</f>
        <v/>
      </c>
      <c r="R253" s="47" t="str">
        <f aca="false">IF($P253="Y",INDEX(Matrix!$C$14:$G$18,MATCH($D253,Matrix!$A$14:$A$18,0),$O253),IF($P253="N",0,""))</f>
        <v/>
      </c>
      <c r="S253" s="47" t="str">
        <f aca="false">IF($P253="Y",IF(AND(ISNUMBER($G253),$G253&gt;=0,$G253&lt;=1),$G253,$R253),IF($P253="N",0,""))</f>
        <v/>
      </c>
      <c r="T253" s="48" t="str">
        <f aca="false">IF($P253&lt;&gt;"Y",IF($P253="N",0,""),IF(ProrateMethod="None",1,IF($C253&lt;=PeriodStart,1,IF(ProrateMethod="Daily",MAX(0,MIN(1,(PeriodEnd-$C253+1)/(PeriodEnd-PeriodStart+1))),MAX(0,MIN(1,((YEAR(PeriodEnd)-YEAR($C253))*12+MONTH(PeriodEnd)-MONTH($C253)+1-IF(DAY($C253)&gt;MonthCutDay,1,0))/PeriodMonths))))))</f>
        <v/>
      </c>
      <c r="U253" s="47" t="str">
        <f aca="false">IF($P253="","",$S253*$T253)</f>
        <v/>
      </c>
      <c r="V253" s="49" t="str">
        <f aca="false">IF($P253="","",IF(ISNUMBER($E253),$E253,0)*$R253)</f>
        <v/>
      </c>
      <c r="W253" s="49" t="str">
        <f aca="false">IF($P253="","",IF(ISNUMBER($E253),$E253,0)*$S253)</f>
        <v/>
      </c>
      <c r="X253" s="49" t="str">
        <f aca="false">IF($P253="","",IF(ISNUMBER($E253),$E253,0)*$U253)</f>
        <v/>
      </c>
      <c r="Y253" s="49" t="str">
        <f aca="false">IF($P253="","",IF(AND(CapAtMax="Yes",$P253="Y"),MAX(0,MIN($X253,$K253-$E253)),$X253))</f>
        <v/>
      </c>
      <c r="Z253" s="41" t="str">
        <f aca="false">IF(OR($P253="",NOT(ISNUMBER($E253))),"",$E253+$Y253)</f>
        <v/>
      </c>
      <c r="AA253" s="42" t="str">
        <f aca="false">IF(AND(ISNUMBER(Z253),ISNUMBER(J253)),IF(J253&gt;0,Z253/J253,""),"")</f>
        <v/>
      </c>
      <c r="AB253" s="46" t="str">
        <f aca="false">IF($P253="","",TRIM(IF(AND($P253="Y",ISNUMBER(K253),ISNUMBER(Z253)),IF(Z253&gt;K253,"Above range max. ",""),"")&amp;IF(AND($P253="Y",ISNUMBER($X253),ISNUMBER($Y253)),IF($X253-$Y253&gt;0.005,"Capped at range max. ",""),"")&amp;IF(AND(AND(ISNUMBER($G253),$G253&gt;=0,$G253&lt;=1),$H253=""),"Override needs a reason. ","")&amp;IF(AND(AND(ISNUMBER($G253),$G253&gt;=0,$G253&lt;=1),$P253&lt;&gt;"Y"),"Override ignored. ","")&amp;IF(AND($G253&lt;&gt;"",NOT(AND(ISNUMBER($G253),$G253&gt;=0,$G253&lt;=1))),"Override not valid, ignored. ","")&amp;IF(AND($A253&lt;&gt;"",COUNTIF($A$5:$A$254,$A253)&gt;1),"Duplicate ID. ","")))</f>
        <v/>
      </c>
    </row>
    <row r="254" customFormat="false" ht="15" hidden="false" customHeight="false" outlineLevel="0" collapsed="false">
      <c r="A254" s="18"/>
      <c r="B254" s="38"/>
      <c r="C254" s="39"/>
      <c r="D254" s="38"/>
      <c r="E254" s="19"/>
      <c r="F254" s="38"/>
      <c r="G254" s="40"/>
      <c r="H254" s="18"/>
      <c r="I254" s="41" t="str">
        <f aca="false">IF(COUNTA($A254:$F254)=0,"",IF($B254="","",IFERROR(INDEX(Ranges!$B$5:$B$16,MATCH($B254,Ranges!$A$5:$A$16,0)),"")))</f>
        <v/>
      </c>
      <c r="J254" s="41" t="str">
        <f aca="false">IF(COUNTA($A254:$F254)=0,"",IF($B254="","",IFERROR(INDEX(Ranges!$C$5:$C$16,MATCH($B254,Ranges!$A$5:$A$16,0)),"")))</f>
        <v/>
      </c>
      <c r="K254" s="41" t="str">
        <f aca="false">IF(COUNTA($A254:$F254)=0,"",IF($B254="","",IFERROR(INDEX(Ranges!$D$5:$D$16,MATCH($B254,Ranges!$A$5:$A$16,0)),"")))</f>
        <v/>
      </c>
      <c r="L254" s="42" t="str">
        <f aca="false">IF(OR(NOT(ISNUMBER($E254)),NOT(ISNUMBER(J254))),"",IF(J254&gt;0,$E254/J254,""))</f>
        <v/>
      </c>
      <c r="M254" s="43" t="str">
        <f aca="false">IF(OR(NOT(ISNUMBER($E254)),NOT(ISNUMBER(I254)),NOT(ISNUMBER(K254))),"",IF(K254&gt;I254,($E254-I254)/(K254-I254),""))</f>
        <v/>
      </c>
      <c r="N254" s="42" t="str">
        <f aca="false">IF(Basis="Compa-ratio",L254,M254)</f>
        <v/>
      </c>
      <c r="O254" s="44" t="str">
        <f aca="false">IF(ISNUMBER(N254),IFERROR(MATCH(N254,Matrix!$C$9:$G$9,1),1),"")</f>
        <v/>
      </c>
      <c r="P254" s="45" t="str">
        <f aca="false">IF(COUNTA($A254:$F254)=0,"",IF(Q254="","Y","N"))</f>
        <v/>
      </c>
      <c r="Q254" s="46" t="str">
        <f aca="false">IF(COUNTA($A254:$F254)=0,"",IF($A254="","ID missing",IF(TRIM($F254)="Exclude","Excluded by plan status",IF(AND(TRIM($F254)&lt;&gt;"",TRIM($F254)&lt;&gt;"Include"),"Plan status not valid (use Include or Exclude)",IF(NOT(ISNUMBER($C254)),"Hire date missing or not a date",IF($C254&gt;Cutoff,"Hired after cutoff",IF(NOT(ISNUMBER($E254)),"Salary missing or not a number",IF($E254&lt;=0,"Salary missing or not a number",IF(OR(NOT(ISNUMBER(I254)),NOT(ISNUMBER(J254)),NOT(ISNUMBER(K254))),"Grade not found in Ranges",IF($D254="","Rating missing",IF($D254="NR","Not rated (NR)",IF(NOT(ISNUMBER(MATCH($D254,Matrix!$A$14:$A$18,0))),"Rating not valid (use 1 to 5 or NR)",IF(NOT(ISNUMBER(O254)),"Band not found (check range and limits)","")))))))))))))</f>
        <v/>
      </c>
      <c r="R254" s="47" t="str">
        <f aca="false">IF($P254="Y",INDEX(Matrix!$C$14:$G$18,MATCH($D254,Matrix!$A$14:$A$18,0),$O254),IF($P254="N",0,""))</f>
        <v/>
      </c>
      <c r="S254" s="47" t="str">
        <f aca="false">IF($P254="Y",IF(AND(ISNUMBER($G254),$G254&gt;=0,$G254&lt;=1),$G254,$R254),IF($P254="N",0,""))</f>
        <v/>
      </c>
      <c r="T254" s="48" t="str">
        <f aca="false">IF($P254&lt;&gt;"Y",IF($P254="N",0,""),IF(ProrateMethod="None",1,IF($C254&lt;=PeriodStart,1,IF(ProrateMethod="Daily",MAX(0,MIN(1,(PeriodEnd-$C254+1)/(PeriodEnd-PeriodStart+1))),MAX(0,MIN(1,((YEAR(PeriodEnd)-YEAR($C254))*12+MONTH(PeriodEnd)-MONTH($C254)+1-IF(DAY($C254)&gt;MonthCutDay,1,0))/PeriodMonths))))))</f>
        <v/>
      </c>
      <c r="U254" s="47" t="str">
        <f aca="false">IF($P254="","",$S254*$T254)</f>
        <v/>
      </c>
      <c r="V254" s="49" t="str">
        <f aca="false">IF($P254="","",IF(ISNUMBER($E254),$E254,0)*$R254)</f>
        <v/>
      </c>
      <c r="W254" s="49" t="str">
        <f aca="false">IF($P254="","",IF(ISNUMBER($E254),$E254,0)*$S254)</f>
        <v/>
      </c>
      <c r="X254" s="49" t="str">
        <f aca="false">IF($P254="","",IF(ISNUMBER($E254),$E254,0)*$U254)</f>
        <v/>
      </c>
      <c r="Y254" s="49" t="str">
        <f aca="false">IF($P254="","",IF(AND(CapAtMax="Yes",$P254="Y"),MAX(0,MIN($X254,$K254-$E254)),$X254))</f>
        <v/>
      </c>
      <c r="Z254" s="41" t="str">
        <f aca="false">IF(OR($P254="",NOT(ISNUMBER($E254))),"",$E254+$Y254)</f>
        <v/>
      </c>
      <c r="AA254" s="42" t="str">
        <f aca="false">IF(AND(ISNUMBER(Z254),ISNUMBER(J254)),IF(J254&gt;0,Z254/J254,""),"")</f>
        <v/>
      </c>
      <c r="AB254" s="46" t="str">
        <f aca="false">IF($P254="","",TRIM(IF(AND($P254="Y",ISNUMBER(K254),ISNUMBER(Z254)),IF(Z254&gt;K254,"Above range max. ",""),"")&amp;IF(AND($P254="Y",ISNUMBER($X254),ISNUMBER($Y254)),IF($X254-$Y254&gt;0.005,"Capped at range max. ",""),"")&amp;IF(AND(AND(ISNUMBER($G254),$G254&gt;=0,$G254&lt;=1),$H254=""),"Override needs a reason. ","")&amp;IF(AND(AND(ISNUMBER($G254),$G254&gt;=0,$G254&lt;=1),$P254&lt;&gt;"Y"),"Override ignored. ","")&amp;IF(AND($G254&lt;&gt;"",NOT(AND(ISNUMBER($G254),$G254&gt;=0,$G254&lt;=1))),"Override not valid, ignored. ","")&amp;IF(AND($A254&lt;&gt;"",COUNTIF($A$5:$A$254,$A254)&gt;1),"Duplicate ID. ","")))</f>
        <v/>
      </c>
    </row>
  </sheetData>
  <conditionalFormatting sqref="A5:AB254">
    <cfRule type="expression" priority="2" aboveAverage="0" equalAverage="0" bottom="0" percent="0" rank="0" text="" dxfId="0">
      <formula>$P5="N"</formula>
    </cfRule>
  </conditionalFormatting>
  <conditionalFormatting sqref="AB5:AB254">
    <cfRule type="expression" priority="3" aboveAverage="0" equalAverage="0" bottom="0" percent="0" rank="0" text="" dxfId="1">
      <formula>LEN($AB5)&gt;0</formula>
    </cfRule>
  </conditionalFormatting>
  <dataValidations count="6">
    <dataValidation allowBlank="true" error="Pick a grade that exists on the Ranges sheet." errorStyle="stop" errorTitle="Grade" operator="between" showDropDown="false" showErrorMessage="true" showInputMessage="false" sqref="B5:B254" type="list">
      <formula1>Ranges!$A$5:$A$16</formula1>
      <formula2>0</formula2>
    </dataValidation>
    <dataValidation allowBlank="true" error="Use 1 to 5, or NR for not rated." errorStyle="stop" errorTitle="Rating" operator="between" showDropDown="false" showErrorMessage="true" showInputMessage="false" sqref="D5:D254" type="list">
      <formula1>"1,2,3,4,5,NR"</formula1>
      <formula2>0</formula2>
    </dataValidation>
    <dataValidation allowBlank="true" error="Include, Exclude, or leave blank." errorStyle="stop" errorTitle="Plan status" operator="between" showDropDown="false" showErrorMessage="true" showInputMessage="false" sqref="F5:F254" type="list">
      <formula1>"Include,Exclude"</formula1>
      <formula2>0</formula2>
    </dataValidation>
    <dataValidation allowBlank="true" error="Enter a date on or after 1950-01-01." errorStyle="stop" errorTitle="Date needed" operator="greaterThanOrEqual" showDropDown="false" showErrorMessage="true" showInputMessage="false" sqref="C5:C254" type="date">
      <formula1>18264</formula1>
      <formula2>0</formula2>
    </dataValidation>
    <dataValidation allowBlank="true" error="Enter an annualized base salary greater than 0." errorStyle="stop" errorTitle="Salary" operator="greaterThan" showDropDown="false" showErrorMessage="true" showInputMessage="false" sqref="E5:E254" type="decimal">
      <formula1>0</formula1>
      <formula2>0</formula2>
    </dataValidation>
    <dataValidation allowBlank="true" error="Enter a percentage between 0% and 100%, or leave blank." errorStyle="stop" errorTitle="Override %" operator="between" showDropDown="false" showErrorMessage="true" showInputMessage="false" sqref="G5:G254" type="decimal">
      <formula1>0</formula1>
      <formula2>1</formula2>
    </dataValidation>
  </dataValidations>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24"/>
    <col collapsed="false" customWidth="true" hidden="false" outlineLevel="0" max="3" min="3" style="0" width="16"/>
    <col collapsed="false" customWidth="true" hidden="false" outlineLevel="0" max="4" min="4" style="0" width="18"/>
    <col collapsed="false" customWidth="true" hidden="false" outlineLevel="0" max="6" min="5" style="0" width="16"/>
    <col collapsed="false" customWidth="true" hidden="false" outlineLevel="0" max="7" min="7" style="0" width="18"/>
  </cols>
  <sheetData>
    <row r="1" customFormat="false" ht="19.7" hidden="false" customHeight="false" outlineLevel="0" collapsed="false">
      <c r="A1" s="1" t="s">
        <v>160</v>
      </c>
    </row>
    <row r="2" customFormat="false" ht="15" hidden="false" customHeight="false" outlineLevel="0" collapsed="false">
      <c r="A2" s="7" t="str">
        <f aca="false">"Plan: "&amp;Settings!B5&amp;"   |   Currency: "&amp;CurrencyCode</f>
        <v>Plan: 2027 merit cycle (sample)   |   Currency: USD</v>
      </c>
    </row>
    <row r="3" customFormat="false" ht="15" hidden="false" customHeight="false" outlineLevel="0" collapsed="false">
      <c r="A3" s="23" t="s">
        <v>161</v>
      </c>
      <c r="B3" s="24" t="str">
        <f aca="false">Checks!C3</f>
        <v>All checks pass</v>
      </c>
      <c r="C3" s="24"/>
      <c r="D3" s="24"/>
    </row>
    <row r="4" customFormat="false" ht="15" hidden="false" customHeight="false" outlineLevel="0" collapsed="false">
      <c r="A4" s="13" t="s">
        <v>162</v>
      </c>
      <c r="B4" s="14"/>
      <c r="C4" s="14"/>
      <c r="D4" s="14"/>
    </row>
    <row r="5" customFormat="false" ht="15" hidden="false" customHeight="false" outlineLevel="0" collapsed="false">
      <c r="A5" s="9" t="s">
        <v>163</v>
      </c>
      <c r="B5" s="50" t="n">
        <f aca="false">COUNTIF(Roster!$P$5:$P$254,"Y")+COUNTIF(Roster!$P$5:$P$254,"N")</f>
        <v>24</v>
      </c>
      <c r="C5" s="51" t="s">
        <v>164</v>
      </c>
    </row>
    <row r="6" customFormat="false" ht="15" hidden="false" customHeight="false" outlineLevel="0" collapsed="false">
      <c r="A6" s="9" t="s">
        <v>165</v>
      </c>
      <c r="B6" s="50" t="n">
        <f aca="false">COUNTIF(Roster!$P$5:$P$254,"Y")</f>
        <v>21</v>
      </c>
      <c r="C6" s="51" t="s">
        <v>166</v>
      </c>
    </row>
    <row r="7" customFormat="false" ht="15" hidden="false" customHeight="false" outlineLevel="0" collapsed="false">
      <c r="A7" s="9" t="s">
        <v>167</v>
      </c>
      <c r="B7" s="50" t="n">
        <f aca="false">COUNTIF(Roster!$P$5:$P$254,"N")</f>
        <v>3</v>
      </c>
      <c r="C7" s="51" t="s">
        <v>168</v>
      </c>
    </row>
    <row r="8" customFormat="false" ht="15" hidden="false" customHeight="false" outlineLevel="0" collapsed="false">
      <c r="A8" s="9" t="s">
        <v>169</v>
      </c>
      <c r="B8" s="52" t="n">
        <f aca="false">SUMIFS(Roster!$E$5:$E$254,Roster!$P$5:$P$254,"Y")</f>
        <v>1648500</v>
      </c>
      <c r="C8" s="51" t="s">
        <v>170</v>
      </c>
    </row>
    <row r="9" customFormat="false" ht="15" hidden="false" customHeight="false" outlineLevel="0" collapsed="false">
      <c r="A9" s="9" t="s">
        <v>171</v>
      </c>
      <c r="B9" s="52" t="n">
        <f aca="false">SUMIFS(Roster!$E$5:$E$254,Roster!$P$5:$P$254,"N")</f>
        <v>183000</v>
      </c>
      <c r="C9" s="51" t="s">
        <v>172</v>
      </c>
    </row>
    <row r="11" customFormat="false" ht="15" hidden="false" customHeight="false" outlineLevel="0" collapsed="false">
      <c r="A11" s="13" t="s">
        <v>173</v>
      </c>
      <c r="B11" s="14"/>
      <c r="C11" s="14"/>
      <c r="D11" s="14"/>
    </row>
    <row r="12" customFormat="false" ht="15" hidden="false" customHeight="false" outlineLevel="0" collapsed="false">
      <c r="A12" s="9" t="s">
        <v>41</v>
      </c>
      <c r="B12" s="32" t="n">
        <f aca="false">BudgetPct</f>
        <v>0.03</v>
      </c>
      <c r="C12" s="51" t="s">
        <v>174</v>
      </c>
    </row>
    <row r="13" customFormat="false" ht="15" hidden="false" customHeight="false" outlineLevel="0" collapsed="false">
      <c r="A13" s="9" t="s">
        <v>175</v>
      </c>
      <c r="B13" s="52" t="n">
        <f aca="false">B12*B8</f>
        <v>49455</v>
      </c>
      <c r="C13" s="51" t="s">
        <v>176</v>
      </c>
    </row>
    <row r="14" customFormat="false" ht="15" hidden="false" customHeight="false" outlineLevel="0" collapsed="false">
      <c r="A14" s="9" t="s">
        <v>177</v>
      </c>
      <c r="B14" s="52" t="n">
        <f aca="false">SUM(Roster!$V$5:$V$254)</f>
        <v>49745</v>
      </c>
      <c r="C14" s="51" t="s">
        <v>178</v>
      </c>
    </row>
    <row r="15" customFormat="false" ht="15" hidden="false" customHeight="false" outlineLevel="0" collapsed="false">
      <c r="A15" s="9" t="s">
        <v>179</v>
      </c>
      <c r="B15" s="37" t="n">
        <f aca="false">SUM(Roster!$Y$5:$Y$254)</f>
        <v>48831.6666666667</v>
      </c>
      <c r="C15" s="51" t="s">
        <v>180</v>
      </c>
    </row>
    <row r="16" customFormat="false" ht="15" hidden="false" customHeight="false" outlineLevel="0" collapsed="false">
      <c r="A16" s="9" t="s">
        <v>181</v>
      </c>
      <c r="B16" s="32" t="n">
        <f aca="false">IF(B8&gt;0,B15/B8,0)</f>
        <v>0.0296218784753817</v>
      </c>
      <c r="C16" s="51" t="s">
        <v>182</v>
      </c>
    </row>
    <row r="17" customFormat="false" ht="15" hidden="false" customHeight="false" outlineLevel="0" collapsed="false">
      <c r="A17" s="9" t="s">
        <v>183</v>
      </c>
      <c r="B17" s="53" t="n">
        <f aca="false">IF(B13&gt;0,B15/B13,0)</f>
        <v>0.987395949179389</v>
      </c>
      <c r="C17" s="51" t="s">
        <v>184</v>
      </c>
    </row>
    <row r="18" customFormat="false" ht="15" hidden="false" customHeight="false" outlineLevel="0" collapsed="false">
      <c r="A18" s="9" t="s">
        <v>185</v>
      </c>
      <c r="B18" s="54" t="n">
        <f aca="false">B13-B15</f>
        <v>623.333333333329</v>
      </c>
      <c r="C18" s="51" t="s">
        <v>186</v>
      </c>
    </row>
    <row r="19" customFormat="false" ht="15" hidden="false" customHeight="false" outlineLevel="0" collapsed="false">
      <c r="A19" s="9" t="s">
        <v>187</v>
      </c>
      <c r="B19" s="55" t="n">
        <f aca="false">B16-B12</f>
        <v>-0.000378121524618337</v>
      </c>
      <c r="C19" s="51" t="s">
        <v>188</v>
      </c>
    </row>
    <row r="20" customFormat="false" ht="15" hidden="false" customHeight="false" outlineLevel="0" collapsed="false">
      <c r="A20" s="9" t="s">
        <v>189</v>
      </c>
      <c r="B20" s="24" t="str">
        <f aca="false">IF(B8&lt;=0,"No eligible payroll",IF(B19&gt;Tol+0.0000001,"Over budget",IF(B19&lt;-Tol-0.0000001,"Under budget","Within tolerance")))</f>
        <v>Within tolerance</v>
      </c>
      <c r="C20" s="51" t="s">
        <v>190</v>
      </c>
    </row>
    <row r="21" customFormat="false" ht="15" hidden="false" customHeight="false" outlineLevel="0" collapsed="false">
      <c r="A21" s="9" t="s">
        <v>191</v>
      </c>
      <c r="B21" s="56" t="n">
        <f aca="false">IF(B15&gt;0,B13/B15,"")</f>
        <v>1.01276494078296</v>
      </c>
      <c r="C21" s="51" t="s">
        <v>192</v>
      </c>
    </row>
    <row r="23" customFormat="false" ht="15" hidden="false" customHeight="false" outlineLevel="0" collapsed="false">
      <c r="A23" s="13" t="s">
        <v>193</v>
      </c>
      <c r="B23" s="14"/>
      <c r="C23" s="14"/>
      <c r="D23" s="14"/>
    </row>
    <row r="24" customFormat="false" ht="15" hidden="false" customHeight="false" outlineLevel="0" collapsed="false">
      <c r="A24" s="9" t="s">
        <v>177</v>
      </c>
      <c r="B24" s="54" t="n">
        <f aca="false">B14</f>
        <v>49745</v>
      </c>
      <c r="C24" s="51" t="s">
        <v>194</v>
      </c>
    </row>
    <row r="25" customFormat="false" ht="15" hidden="false" customHeight="false" outlineLevel="0" collapsed="false">
      <c r="A25" s="9" t="s">
        <v>195</v>
      </c>
      <c r="B25" s="54" t="n">
        <f aca="false">SUM(Roster!$W$5:$W$254)-SUM(Roster!$V$5:$V$254)</f>
        <v>960</v>
      </c>
      <c r="C25" s="51" t="s">
        <v>196</v>
      </c>
    </row>
    <row r="26" customFormat="false" ht="15" hidden="false" customHeight="false" outlineLevel="0" collapsed="false">
      <c r="A26" s="9" t="s">
        <v>197</v>
      </c>
      <c r="B26" s="54" t="n">
        <f aca="false">SUM(Roster!$X$5:$X$254)-SUM(Roster!$W$5:$W$254)</f>
        <v>-1713.33333333333</v>
      </c>
      <c r="C26" s="51" t="s">
        <v>198</v>
      </c>
    </row>
    <row r="27" customFormat="false" ht="15" hidden="false" customHeight="false" outlineLevel="0" collapsed="false">
      <c r="A27" s="9" t="s">
        <v>199</v>
      </c>
      <c r="B27" s="54" t="n">
        <f aca="false">SUM(Roster!$Y$5:$Y$254)-SUM(Roster!$X$5:$X$254)</f>
        <v>-160</v>
      </c>
      <c r="C27" s="51" t="s">
        <v>200</v>
      </c>
    </row>
    <row r="28" customFormat="false" ht="15" hidden="false" customHeight="false" outlineLevel="0" collapsed="false">
      <c r="A28" s="23" t="s">
        <v>201</v>
      </c>
      <c r="B28" s="57" t="n">
        <f aca="false">SUM(B24:B27)</f>
        <v>48831.6666666667</v>
      </c>
      <c r="C28" s="51" t="s">
        <v>202</v>
      </c>
    </row>
    <row r="30" customFormat="false" ht="15" hidden="false" customHeight="false" outlineLevel="0" collapsed="false">
      <c r="A30" s="13" t="s">
        <v>203</v>
      </c>
      <c r="B30" s="14"/>
      <c r="C30" s="14"/>
      <c r="D30" s="14"/>
      <c r="E30" s="14"/>
      <c r="F30" s="14"/>
      <c r="G30" s="14"/>
    </row>
    <row r="31" customFormat="false" ht="31.5" hidden="false" customHeight="true" outlineLevel="0" collapsed="false">
      <c r="A31" s="8" t="s">
        <v>92</v>
      </c>
      <c r="B31" s="8" t="s">
        <v>204</v>
      </c>
      <c r="C31" s="8" t="s">
        <v>205</v>
      </c>
      <c r="D31" s="8" t="s">
        <v>206</v>
      </c>
      <c r="E31" s="8" t="s">
        <v>207</v>
      </c>
      <c r="F31" s="8" t="s">
        <v>208</v>
      </c>
      <c r="G31" s="8" t="s">
        <v>209</v>
      </c>
    </row>
    <row r="32" customFormat="false" ht="15" hidden="false" customHeight="false" outlineLevel="0" collapsed="false">
      <c r="A32" s="58" t="n">
        <f aca="false">Matrix!A14</f>
        <v>5</v>
      </c>
      <c r="B32" s="34" t="str">
        <f aca="false">Matrix!B14</f>
        <v>Outstanding</v>
      </c>
      <c r="C32" s="50" t="n">
        <f aca="false">COUNTIFS(Roster!$D$5:$D$254,$A32,Roster!$P$5:$P$254,"Y")</f>
        <v>3</v>
      </c>
      <c r="D32" s="52" t="n">
        <f aca="false">SUMIFS(Roster!$E$5:$E$254,Roster!$D$5:$D$254,$A32,Roster!$P$5:$P$254,"Y")</f>
        <v>222000</v>
      </c>
      <c r="E32" s="52" t="n">
        <f aca="false">SUMIFS(Roster!$Y$5:$Y$254,Roster!$D$5:$D$254,$A32,Roster!$P$5:$P$254,"Y")</f>
        <v>13320</v>
      </c>
      <c r="F32" s="32" t="n">
        <f aca="false">IF(D32&gt;0,E32/D32,0)</f>
        <v>0.06</v>
      </c>
      <c r="G32" s="53" t="n">
        <f aca="false">IF($E$37&gt;0,E32/$E$37,0)</f>
        <v>0.272773814805966</v>
      </c>
    </row>
    <row r="33" customFormat="false" ht="15" hidden="false" customHeight="false" outlineLevel="0" collapsed="false">
      <c r="A33" s="58" t="n">
        <f aca="false">Matrix!A15</f>
        <v>4</v>
      </c>
      <c r="B33" s="34" t="str">
        <f aca="false">Matrix!B15</f>
        <v>Exceeds expectations</v>
      </c>
      <c r="C33" s="50" t="n">
        <f aca="false">COUNTIFS(Roster!$D$5:$D$254,$A33,Roster!$P$5:$P$254,"Y")</f>
        <v>7</v>
      </c>
      <c r="D33" s="52" t="n">
        <f aca="false">SUMIFS(Roster!$E$5:$E$254,Roster!$D$5:$D$254,$A33,Roster!$P$5:$P$254,"Y")</f>
        <v>539500</v>
      </c>
      <c r="E33" s="52" t="n">
        <f aca="false">SUMIFS(Roster!$Y$5:$Y$254,Roster!$D$5:$D$254,$A33,Roster!$P$5:$P$254,"Y")</f>
        <v>20270</v>
      </c>
      <c r="F33" s="32" t="n">
        <f aca="false">IF(D33&gt;0,E33/D33,0)</f>
        <v>0.0375718257645969</v>
      </c>
      <c r="G33" s="53" t="n">
        <f aca="false">IF($E$37&gt;0,E33/$E$37,0)</f>
        <v>0.41509949145022</v>
      </c>
    </row>
    <row r="34" customFormat="false" ht="15" hidden="false" customHeight="false" outlineLevel="0" collapsed="false">
      <c r="A34" s="58" t="n">
        <f aca="false">Matrix!A16</f>
        <v>3</v>
      </c>
      <c r="B34" s="34" t="str">
        <f aca="false">Matrix!B16</f>
        <v>Meets expectations</v>
      </c>
      <c r="C34" s="50" t="n">
        <f aca="false">COUNTIFS(Roster!$D$5:$D$254,$A34,Roster!$P$5:$P$254,"Y")</f>
        <v>8</v>
      </c>
      <c r="D34" s="52" t="n">
        <f aca="false">SUMIFS(Roster!$E$5:$E$254,Roster!$D$5:$D$254,$A34,Roster!$P$5:$P$254,"Y")</f>
        <v>619000</v>
      </c>
      <c r="E34" s="52" t="n">
        <f aca="false">SUMIFS(Roster!$Y$5:$Y$254,Roster!$D$5:$D$254,$A34,Roster!$P$5:$P$254,"Y")</f>
        <v>14851.6666666667</v>
      </c>
      <c r="F34" s="32" t="n">
        <f aca="false">IF(D34&gt;0,E34/D34,0)</f>
        <v>0.023992999461497</v>
      </c>
      <c r="G34" s="53" t="n">
        <f aca="false">IF($E$37&gt;0,E34/$E$37,0)</f>
        <v>0.304140073040036</v>
      </c>
    </row>
    <row r="35" customFormat="false" ht="15" hidden="false" customHeight="false" outlineLevel="0" collapsed="false">
      <c r="A35" s="58" t="n">
        <f aca="false">Matrix!A17</f>
        <v>2</v>
      </c>
      <c r="B35" s="34" t="str">
        <f aca="false">Matrix!B17</f>
        <v>Partially meets expectations</v>
      </c>
      <c r="C35" s="50" t="n">
        <f aca="false">COUNTIFS(Roster!$D$5:$D$254,$A35,Roster!$P$5:$P$254,"Y")</f>
        <v>2</v>
      </c>
      <c r="D35" s="52" t="n">
        <f aca="false">SUMIFS(Roster!$E$5:$E$254,Roster!$D$5:$D$254,$A35,Roster!$P$5:$P$254,"Y")</f>
        <v>192000</v>
      </c>
      <c r="E35" s="52" t="n">
        <f aca="false">SUMIFS(Roster!$Y$5:$Y$254,Roster!$D$5:$D$254,$A35,Roster!$P$5:$P$254,"Y")</f>
        <v>390</v>
      </c>
      <c r="F35" s="32" t="n">
        <f aca="false">IF(D35&gt;0,E35/D35,0)</f>
        <v>0.00203125</v>
      </c>
      <c r="G35" s="53" t="n">
        <f aca="false">IF($E$37&gt;0,E35/$E$37,0)</f>
        <v>0.00798662070377829</v>
      </c>
    </row>
    <row r="36" customFormat="false" ht="15" hidden="false" customHeight="false" outlineLevel="0" collapsed="false">
      <c r="A36" s="58" t="n">
        <f aca="false">Matrix!A18</f>
        <v>1</v>
      </c>
      <c r="B36" s="34" t="str">
        <f aca="false">Matrix!B18</f>
        <v>Does not meet expectations</v>
      </c>
      <c r="C36" s="50" t="n">
        <f aca="false">COUNTIFS(Roster!$D$5:$D$254,$A36,Roster!$P$5:$P$254,"Y")</f>
        <v>1</v>
      </c>
      <c r="D36" s="52" t="n">
        <f aca="false">SUMIFS(Roster!$E$5:$E$254,Roster!$D$5:$D$254,$A36,Roster!$P$5:$P$254,"Y")</f>
        <v>76000</v>
      </c>
      <c r="E36" s="52" t="n">
        <f aca="false">SUMIFS(Roster!$Y$5:$Y$254,Roster!$D$5:$D$254,$A36,Roster!$P$5:$P$254,"Y")</f>
        <v>0</v>
      </c>
      <c r="F36" s="32" t="n">
        <f aca="false">IF(D36&gt;0,E36/D36,0)</f>
        <v>0</v>
      </c>
      <c r="G36" s="53" t="n">
        <f aca="false">IF($E$37&gt;0,E36/$E$37,0)</f>
        <v>0</v>
      </c>
    </row>
    <row r="37" customFormat="false" ht="15" hidden="false" customHeight="false" outlineLevel="0" collapsed="false">
      <c r="A37" s="23" t="s">
        <v>210</v>
      </c>
      <c r="B37" s="34"/>
      <c r="C37" s="59" t="n">
        <f aca="false">SUM(C32:C36)</f>
        <v>21</v>
      </c>
      <c r="D37" s="37" t="n">
        <f aca="false">SUM(D32:D36)</f>
        <v>1648500</v>
      </c>
      <c r="E37" s="37" t="n">
        <f aca="false">SUM(E32:E36)</f>
        <v>48831.6666666667</v>
      </c>
      <c r="F37" s="60" t="n">
        <f aca="false">IF(D37&gt;0,E37/D37,0)</f>
        <v>0.0296218784753817</v>
      </c>
      <c r="G37" s="61" t="n">
        <f aca="false">SUM(G32:G36)</f>
        <v>1</v>
      </c>
    </row>
    <row r="39" customFormat="false" ht="15" hidden="false" customHeight="false" outlineLevel="0" collapsed="false">
      <c r="A39" s="13" t="s">
        <v>211</v>
      </c>
      <c r="B39" s="14"/>
      <c r="C39" s="14"/>
      <c r="D39" s="14"/>
      <c r="E39" s="14"/>
      <c r="F39" s="14"/>
      <c r="G39" s="14"/>
    </row>
    <row r="40" customFormat="false" ht="31.5" hidden="false" customHeight="true" outlineLevel="0" collapsed="false">
      <c r="A40" s="8" t="s">
        <v>212</v>
      </c>
      <c r="B40" s="8" t="s">
        <v>204</v>
      </c>
      <c r="C40" s="8" t="s">
        <v>205</v>
      </c>
      <c r="D40" s="8" t="s">
        <v>206</v>
      </c>
      <c r="E40" s="8" t="s">
        <v>207</v>
      </c>
      <c r="F40" s="8" t="s">
        <v>208</v>
      </c>
      <c r="G40" s="8" t="s">
        <v>209</v>
      </c>
    </row>
    <row r="41" customFormat="false" ht="15" hidden="false" customHeight="false" outlineLevel="0" collapsed="false">
      <c r="A41" s="58" t="n">
        <f aca="false">Matrix!C6</f>
        <v>1</v>
      </c>
      <c r="B41" s="34" t="str">
        <f aca="false">Matrix!C10</f>
        <v>Below 0.85</v>
      </c>
      <c r="C41" s="50" t="n">
        <f aca="false">COUNTIFS(Roster!$O$5:$O$254,$A41,Roster!$P$5:$P$254,"Y")</f>
        <v>0</v>
      </c>
      <c r="D41" s="52" t="n">
        <f aca="false">SUMIFS(Roster!$E$5:$E$254,Roster!$O$5:$O$254,$A41,Roster!$P$5:$P$254,"Y")</f>
        <v>0</v>
      </c>
      <c r="E41" s="52" t="n">
        <f aca="false">SUMIFS(Roster!$Y$5:$Y$254,Roster!$O$5:$O$254,$A41,Roster!$P$5:$P$254,"Y")</f>
        <v>0</v>
      </c>
      <c r="F41" s="32" t="n">
        <f aca="false">IF(D41&gt;0,E41/D41,0)</f>
        <v>0</v>
      </c>
      <c r="G41" s="53" t="n">
        <f aca="false">IF($E$46&gt;0,E41/$E$46,0)</f>
        <v>0</v>
      </c>
    </row>
    <row r="42" customFormat="false" ht="15" hidden="false" customHeight="false" outlineLevel="0" collapsed="false">
      <c r="A42" s="58" t="n">
        <f aca="false">Matrix!D6</f>
        <v>2</v>
      </c>
      <c r="B42" s="34" t="str">
        <f aca="false">Matrix!D10</f>
        <v>0.85 to &lt;0.95</v>
      </c>
      <c r="C42" s="50" t="n">
        <f aca="false">COUNTIFS(Roster!$O$5:$O$254,$A42,Roster!$P$5:$P$254,"Y")</f>
        <v>9</v>
      </c>
      <c r="D42" s="52" t="n">
        <f aca="false">SUMIFS(Roster!$E$5:$E$254,Roster!$O$5:$O$254,$A42,Roster!$P$5:$P$254,"Y")</f>
        <v>579000</v>
      </c>
      <c r="E42" s="52" t="n">
        <f aca="false">SUMIFS(Roster!$Y$5:$Y$254,Roster!$O$5:$O$254,$A42,Roster!$P$5:$P$254,"Y")</f>
        <v>25451.6666666667</v>
      </c>
      <c r="F42" s="32" t="n">
        <f aca="false">IF(D42&gt;0,E42/D42,0)</f>
        <v>0.043957973517559</v>
      </c>
      <c r="G42" s="53" t="n">
        <f aca="false">IF($E$46&gt;0,E42/$E$46,0)</f>
        <v>0.521212328065804</v>
      </c>
    </row>
    <row r="43" customFormat="false" ht="15" hidden="false" customHeight="false" outlineLevel="0" collapsed="false">
      <c r="A43" s="58" t="n">
        <f aca="false">Matrix!E6</f>
        <v>3</v>
      </c>
      <c r="B43" s="34" t="str">
        <f aca="false">Matrix!E10</f>
        <v>0.95 to &lt;1.05</v>
      </c>
      <c r="C43" s="50" t="n">
        <f aca="false">COUNTIFS(Roster!$O$5:$O$254,$A43,Roster!$P$5:$P$254,"Y")</f>
        <v>7</v>
      </c>
      <c r="D43" s="52" t="n">
        <f aca="false">SUMIFS(Roster!$E$5:$E$254,Roster!$O$5:$O$254,$A43,Roster!$P$5:$P$254,"Y")</f>
        <v>583000</v>
      </c>
      <c r="E43" s="52" t="n">
        <f aca="false">SUMIFS(Roster!$Y$5:$Y$254,Roster!$O$5:$O$254,$A43,Roster!$P$5:$P$254,"Y")</f>
        <v>18510</v>
      </c>
      <c r="F43" s="32" t="n">
        <f aca="false">IF(D43&gt;0,E43/D43,0)</f>
        <v>0.0317495711835335</v>
      </c>
      <c r="G43" s="53" t="n">
        <f aca="false">IF($E$46&gt;0,E43/$E$46,0)</f>
        <v>0.379057305710092</v>
      </c>
    </row>
    <row r="44" customFormat="false" ht="15" hidden="false" customHeight="false" outlineLevel="0" collapsed="false">
      <c r="A44" s="58" t="n">
        <f aca="false">Matrix!F6</f>
        <v>4</v>
      </c>
      <c r="B44" s="34" t="str">
        <f aca="false">Matrix!F10</f>
        <v>1.05 to &lt;1.15</v>
      </c>
      <c r="C44" s="50" t="n">
        <f aca="false">COUNTIFS(Roster!$O$5:$O$254,$A44,Roster!$P$5:$P$254,"Y")</f>
        <v>2</v>
      </c>
      <c r="D44" s="52" t="n">
        <f aca="false">SUMIFS(Roster!$E$5:$E$254,Roster!$O$5:$O$254,$A44,Roster!$P$5:$P$254,"Y")</f>
        <v>206000</v>
      </c>
      <c r="E44" s="52" t="n">
        <f aca="false">SUMIFS(Roster!$Y$5:$Y$254,Roster!$O$5:$O$254,$A44,Roster!$P$5:$P$254,"Y")</f>
        <v>1320</v>
      </c>
      <c r="F44" s="32" t="n">
        <f aca="false">IF(D44&gt;0,E44/D44,0)</f>
        <v>0.00640776699029126</v>
      </c>
      <c r="G44" s="53" t="n">
        <f aca="false">IF($E$46&gt;0,E44/$E$46,0)</f>
        <v>0.0270316393050957</v>
      </c>
    </row>
    <row r="45" customFormat="false" ht="15" hidden="false" customHeight="false" outlineLevel="0" collapsed="false">
      <c r="A45" s="58" t="n">
        <f aca="false">Matrix!G6</f>
        <v>5</v>
      </c>
      <c r="B45" s="34" t="str">
        <f aca="false">Matrix!G10</f>
        <v>1.15 and above</v>
      </c>
      <c r="C45" s="50" t="n">
        <f aca="false">COUNTIFS(Roster!$O$5:$O$254,$A45,Roster!$P$5:$P$254,"Y")</f>
        <v>3</v>
      </c>
      <c r="D45" s="52" t="n">
        <f aca="false">SUMIFS(Roster!$E$5:$E$254,Roster!$O$5:$O$254,$A45,Roster!$P$5:$P$254,"Y")</f>
        <v>280500</v>
      </c>
      <c r="E45" s="52" t="n">
        <f aca="false">SUMIFS(Roster!$Y$5:$Y$254,Roster!$O$5:$O$254,$A45,Roster!$P$5:$P$254,"Y")</f>
        <v>3550</v>
      </c>
      <c r="F45" s="32" t="n">
        <f aca="false">IF(D45&gt;0,E45/D45,0)</f>
        <v>0.0126559714795009</v>
      </c>
      <c r="G45" s="53" t="n">
        <f aca="false">IF($E$46&gt;0,E45/$E$46,0)</f>
        <v>0.0726987269190075</v>
      </c>
    </row>
    <row r="46" customFormat="false" ht="15" hidden="false" customHeight="false" outlineLevel="0" collapsed="false">
      <c r="A46" s="23" t="s">
        <v>210</v>
      </c>
      <c r="B46" s="34"/>
      <c r="C46" s="59" t="n">
        <f aca="false">SUM(C41:C45)</f>
        <v>21</v>
      </c>
      <c r="D46" s="37" t="n">
        <f aca="false">SUM(D41:D45)</f>
        <v>1648500</v>
      </c>
      <c r="E46" s="37" t="n">
        <f aca="false">SUM(E41:E45)</f>
        <v>48831.6666666667</v>
      </c>
      <c r="F46" s="60" t="n">
        <f aca="false">IF(D46&gt;0,E46/D46,0)</f>
        <v>0.0296218784753817</v>
      </c>
      <c r="G46" s="61" t="n">
        <f aca="false">SUM(G41:G45)</f>
        <v>1</v>
      </c>
    </row>
    <row r="48" customFormat="false" ht="15" hidden="false" customHeight="false" outlineLevel="0" collapsed="false">
      <c r="A48" s="13" t="s">
        <v>213</v>
      </c>
      <c r="B48" s="14"/>
      <c r="C48" s="14"/>
      <c r="D48" s="14"/>
    </row>
    <row r="49" customFormat="false" ht="15" hidden="false" customHeight="false" outlineLevel="0" collapsed="false">
      <c r="A49" s="9" t="s">
        <v>55</v>
      </c>
      <c r="B49" s="62" t="n">
        <f aca="false">EffDate</f>
        <v>46388</v>
      </c>
      <c r="C49" s="51" t="s">
        <v>174</v>
      </c>
    </row>
    <row r="50" customFormat="false" ht="15" hidden="false" customHeight="false" outlineLevel="0" collapsed="false">
      <c r="A50" s="9" t="s">
        <v>214</v>
      </c>
      <c r="B50" s="53" t="n">
        <f aca="false">MAX(0,MIN(1,(FYEnd-MAX(EffDate,FYStart)+1)/(FYEnd-FYStart+1)))</f>
        <v>1</v>
      </c>
      <c r="C50" s="51" t="s">
        <v>215</v>
      </c>
    </row>
    <row r="51" customFormat="false" ht="15" hidden="false" customHeight="false" outlineLevel="0" collapsed="false">
      <c r="A51" s="9" t="s">
        <v>216</v>
      </c>
      <c r="B51" s="52" t="n">
        <f aca="false">B15*B50</f>
        <v>48831.6666666667</v>
      </c>
      <c r="C51" s="51" t="s">
        <v>217</v>
      </c>
    </row>
  </sheetData>
  <mergeCells count="1">
    <mergeCell ref="B3:D3"/>
  </mergeCells>
  <conditionalFormatting sqref="B20">
    <cfRule type="expression" priority="2" aboveAverage="0" equalAverage="0" bottom="0" percent="0" rank="0" text="" dxfId="2">
      <formula>$B$20="Over budget"</formula>
    </cfRule>
    <cfRule type="expression" priority="3" aboveAverage="0" equalAverage="0" bottom="0" percent="0" rank="0" text="" dxfId="3">
      <formula>$B$20="Within tolerance"</formula>
    </cfRule>
    <cfRule type="expression" priority="4" aboveAverage="0" equalAverage="0" bottom="0" percent="0" rank="0" text="" dxfId="4">
      <formula>OR($B$20="Under budget",$B$20="No eligible payroll")</formula>
    </cfRule>
  </conditionalFormatting>
  <conditionalFormatting sqref="B3:D3">
    <cfRule type="expression" priority="5" aboveAverage="0" equalAverage="0" bottom="0" percent="0" rank="0" text="" dxfId="2">
      <formula>ISNUMBER(SEARCH("fix",B3))</formula>
    </cfRule>
    <cfRule type="expression" priority="6" aboveAverage="0" equalAverage="0" bottom="0" percent="0" rank="0" text="" dxfId="4">
      <formula>ISNUMBER(SEARCH("review",B3))</formula>
    </cfRule>
    <cfRule type="expression" priority="7" aboveAverage="0" equalAverage="0" bottom="0" percent="0" rank="0" text="" dxfId="3">
      <formula>ISNUMBER(SEARCH("All checks pass",B3))</formula>
    </cfRule>
  </conditionalFormatting>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56"/>
    <col collapsed="false" customWidth="true" hidden="false" outlineLevel="0" max="4" min="3" style="0" width="18"/>
    <col collapsed="false" customWidth="true" hidden="false" outlineLevel="0" max="5" min="5" style="0" width="14"/>
    <col collapsed="false" customWidth="true" hidden="false" outlineLevel="0" max="6" min="6" style="0" width="12"/>
    <col collapsed="false" customWidth="true" hidden="false" outlineLevel="0" max="7" min="7" style="0" width="70"/>
  </cols>
  <sheetData>
    <row r="1" customFormat="false" ht="19.7" hidden="false" customHeight="false" outlineLevel="0" collapsed="false">
      <c r="A1" s="1" t="s">
        <v>218</v>
      </c>
    </row>
    <row r="2" customFormat="false" ht="15" hidden="false" customHeight="false" outlineLevel="0" collapsed="false">
      <c r="A2" s="7" t="s">
        <v>219</v>
      </c>
    </row>
    <row r="3" customFormat="false" ht="15" hidden="false" customHeight="false" outlineLevel="0" collapsed="false">
      <c r="B3" s="23" t="s">
        <v>220</v>
      </c>
      <c r="C3" s="24" t="str">
        <f aca="false">IF(COUNTIF(F6:F30,"CHECK")&gt;0,COUNTIF(F6:F30,"CHECK")&amp;" check(s) to fix"&amp;IF(COUNTIF(F6:F30,"REVIEW")&gt;0," and "&amp;COUNTIF(F6:F30,"REVIEW")&amp;" to review",""),IF(COUNTIF(F6:F30,"REVIEW")&gt;0,COUNTIF(F6:F30,"REVIEW")&amp;" item(s) to review","All checks pass"))</f>
        <v>All checks pass</v>
      </c>
      <c r="D3" s="24"/>
      <c r="E3" s="24"/>
    </row>
    <row r="5" customFormat="false" ht="30" hidden="false" customHeight="true" outlineLevel="0" collapsed="false">
      <c r="A5" s="8" t="s">
        <v>221</v>
      </c>
      <c r="B5" s="8" t="s">
        <v>76</v>
      </c>
      <c r="C5" s="8" t="s">
        <v>222</v>
      </c>
      <c r="D5" s="8" t="s">
        <v>223</v>
      </c>
      <c r="E5" s="8" t="s">
        <v>224</v>
      </c>
      <c r="F5" s="8" t="s">
        <v>189</v>
      </c>
      <c r="G5" s="8" t="s">
        <v>225</v>
      </c>
    </row>
    <row r="6" customFormat="false" ht="31.5" hidden="false" customHeight="true" outlineLevel="0" collapsed="false">
      <c r="A6" s="58" t="n">
        <v>1</v>
      </c>
      <c r="B6" s="63" t="s">
        <v>226</v>
      </c>
      <c r="C6" s="54" t="n">
        <f aca="false">SUMPRODUCT(--(((Roster!$A$5:$A$254&lt;&gt;"")+(Roster!$B$5:$B$254&lt;&gt;"")+(Roster!$C$5:$C$254&lt;&gt;"")+(Roster!$D$5:$D$254&lt;&gt;"")+(Roster!$E$5:$E$254&lt;&gt;"")+(Roster!$F$5:$F$254&lt;&gt;""))&gt;0))</f>
        <v>24</v>
      </c>
      <c r="D6" s="54" t="n">
        <f aca="false">Budget!B6+Budget!B7</f>
        <v>24</v>
      </c>
      <c r="E6" s="54" t="n">
        <f aca="false">D6-C6</f>
        <v>0</v>
      </c>
      <c r="F6" s="64" t="str">
        <f aca="false">IF(ABS(E6)&lt;0.01,"OK","CHECK")</f>
        <v>OK</v>
      </c>
      <c r="G6" s="63" t="s">
        <v>227</v>
      </c>
    </row>
    <row r="7" customFormat="false" ht="31.5" hidden="false" customHeight="true" outlineLevel="0" collapsed="false">
      <c r="A7" s="58" t="n">
        <v>2</v>
      </c>
      <c r="B7" s="63" t="s">
        <v>228</v>
      </c>
      <c r="C7" s="65" t="n">
        <f aca="false">SUM(Roster!$E$5:$E$254)</f>
        <v>1831500</v>
      </c>
      <c r="D7" s="65" t="n">
        <f aca="false">Budget!B8+Budget!B9</f>
        <v>1831500</v>
      </c>
      <c r="E7" s="65" t="n">
        <f aca="false">D7-C7</f>
        <v>0</v>
      </c>
      <c r="F7" s="64" t="str">
        <f aca="false">IF(ABS(E7)&lt;0.01,"OK","CHECK")</f>
        <v>OK</v>
      </c>
      <c r="G7" s="63" t="s">
        <v>229</v>
      </c>
    </row>
    <row r="8" customFormat="false" ht="31.5" hidden="false" customHeight="true" outlineLevel="0" collapsed="false">
      <c r="A8" s="58" t="n">
        <v>3</v>
      </c>
      <c r="B8" s="63" t="s">
        <v>230</v>
      </c>
      <c r="C8" s="65" t="n">
        <f aca="false">Budget!B15</f>
        <v>48831.6666666667</v>
      </c>
      <c r="D8" s="65" t="n">
        <f aca="false">Budget!E37</f>
        <v>48831.6666666667</v>
      </c>
      <c r="E8" s="65" t="n">
        <f aca="false">D8-C8</f>
        <v>0</v>
      </c>
      <c r="F8" s="64" t="str">
        <f aca="false">IF(ABS(E8)&lt;0.01,"OK","CHECK")</f>
        <v>OK</v>
      </c>
      <c r="G8" s="63" t="s">
        <v>231</v>
      </c>
    </row>
    <row r="9" customFormat="false" ht="31.5" hidden="false" customHeight="true" outlineLevel="0" collapsed="false">
      <c r="A9" s="58" t="n">
        <v>4</v>
      </c>
      <c r="B9" s="63" t="s">
        <v>232</v>
      </c>
      <c r="C9" s="65" t="n">
        <f aca="false">Budget!B15</f>
        <v>48831.6666666667</v>
      </c>
      <c r="D9" s="65" t="n">
        <f aca="false">Budget!E46</f>
        <v>48831.6666666667</v>
      </c>
      <c r="E9" s="65" t="n">
        <f aca="false">D9-C9</f>
        <v>0</v>
      </c>
      <c r="F9" s="64" t="str">
        <f aca="false">IF(ABS(E9)&lt;0.01,"OK","CHECK")</f>
        <v>OK</v>
      </c>
      <c r="G9" s="63" t="s">
        <v>233</v>
      </c>
    </row>
    <row r="10" customFormat="false" ht="31.5" hidden="false" customHeight="true" outlineLevel="0" collapsed="false">
      <c r="A10" s="58" t="n">
        <v>5</v>
      </c>
      <c r="B10" s="63" t="s">
        <v>234</v>
      </c>
      <c r="C10" s="65" t="n">
        <f aca="false">Budget!B15</f>
        <v>48831.6666666667</v>
      </c>
      <c r="D10" s="65" t="n">
        <f aca="false">Matrix!G39</f>
        <v>48831.6666666667</v>
      </c>
      <c r="E10" s="65" t="n">
        <f aca="false">D10-C10</f>
        <v>0</v>
      </c>
      <c r="F10" s="64" t="str">
        <f aca="false">IF(ABS(E10)&lt;0.01,"OK","CHECK")</f>
        <v>OK</v>
      </c>
      <c r="G10" s="63" t="s">
        <v>235</v>
      </c>
    </row>
    <row r="11" customFormat="false" ht="31.5" hidden="false" customHeight="true" outlineLevel="0" collapsed="false">
      <c r="A11" s="58" t="n">
        <v>6</v>
      </c>
      <c r="B11" s="63" t="s">
        <v>236</v>
      </c>
      <c r="C11" s="65" t="n">
        <f aca="false">Budget!B15</f>
        <v>48831.6666666667</v>
      </c>
      <c r="D11" s="65" t="n">
        <f aca="false">Budget!B28</f>
        <v>48831.6666666667</v>
      </c>
      <c r="E11" s="65" t="n">
        <f aca="false">D11-C11</f>
        <v>0</v>
      </c>
      <c r="F11" s="64" t="str">
        <f aca="false">IF(ABS(E11)&lt;0.01,"OK","CHECK")</f>
        <v>OK</v>
      </c>
      <c r="G11" s="63" t="s">
        <v>237</v>
      </c>
    </row>
    <row r="12" customFormat="false" ht="31.5" hidden="false" customHeight="true" outlineLevel="0" collapsed="false">
      <c r="A12" s="58" t="n">
        <v>7</v>
      </c>
      <c r="B12" s="63" t="s">
        <v>238</v>
      </c>
      <c r="C12" s="54" t="n">
        <f aca="false">0</f>
        <v>0</v>
      </c>
      <c r="D12" s="54" t="n">
        <f aca="false">COUNTIF(Roster!$Q$5:$Q$254,"ID missing")+COUNTIF(Roster!$Q$5:$Q$254,"Plan status not valid*")+COUNTIF(Roster!$Q$5:$Q$254,"Hire date missing*")+COUNTIF(Roster!$Q$5:$Q$254,"Salary missing*")+COUNTIF(Roster!$Q$5:$Q$254,"Grade not found*")+COUNTIF(Roster!$Q$5:$Q$254,"Rating missing")+COUNTIF(Roster!$Q$5:$Q$254,"Rating not valid*")+COUNTIF(Roster!$Q$5:$Q$254,"Band not found*")</f>
        <v>0</v>
      </c>
      <c r="E12" s="54" t="n">
        <f aca="false">D12-C12</f>
        <v>0</v>
      </c>
      <c r="F12" s="64" t="str">
        <f aca="false">IF(D12=0,"OK","CHECK")</f>
        <v>OK</v>
      </c>
      <c r="G12" s="63" t="s">
        <v>239</v>
      </c>
    </row>
    <row r="13" customFormat="false" ht="31.5" hidden="false" customHeight="true" outlineLevel="0" collapsed="false">
      <c r="A13" s="58" t="n">
        <v>8</v>
      </c>
      <c r="B13" s="63" t="s">
        <v>240</v>
      </c>
      <c r="C13" s="54" t="n">
        <f aca="false">0</f>
        <v>0</v>
      </c>
      <c r="D13" s="54" t="n">
        <f aca="false">SUMPRODUCT(--(Matrix!$D$9:$G$9&lt;=Matrix!$C$9:$F$9))</f>
        <v>0</v>
      </c>
      <c r="E13" s="54" t="n">
        <f aca="false">D13-C13</f>
        <v>0</v>
      </c>
      <c r="F13" s="64" t="str">
        <f aca="false">IF(D13=0,"OK","CHECK")</f>
        <v>OK</v>
      </c>
      <c r="G13" s="63" t="s">
        <v>241</v>
      </c>
    </row>
    <row r="14" customFormat="false" ht="31.5" hidden="false" customHeight="true" outlineLevel="0" collapsed="false">
      <c r="A14" s="58" t="n">
        <v>9</v>
      </c>
      <c r="B14" s="63" t="s">
        <v>242</v>
      </c>
      <c r="C14" s="54" t="n">
        <f aca="false">0</f>
        <v>0</v>
      </c>
      <c r="D14" s="54" t="n">
        <f aca="false">(25-COUNT(Matrix!$C$14:$G$18))+COUNTIF(Matrix!$C$14:$G$18,"&lt;0")</f>
        <v>0</v>
      </c>
      <c r="E14" s="54" t="n">
        <f aca="false">D14-C14</f>
        <v>0</v>
      </c>
      <c r="F14" s="64" t="str">
        <f aca="false">IF(D14=0,"OK","CHECK")</f>
        <v>OK</v>
      </c>
      <c r="G14" s="63" t="s">
        <v>243</v>
      </c>
    </row>
    <row r="15" customFormat="false" ht="31.5" hidden="false" customHeight="true" outlineLevel="0" collapsed="false">
      <c r="A15" s="58" t="n">
        <v>10</v>
      </c>
      <c r="B15" s="63" t="s">
        <v>244</v>
      </c>
      <c r="C15" s="54" t="n">
        <f aca="false">0</f>
        <v>0</v>
      </c>
      <c r="D15" s="54" t="n">
        <f aca="false">SUMPRODUCT(--(Matrix!$C$14:$G$17&lt;Matrix!$C$15:$G$18))</f>
        <v>0</v>
      </c>
      <c r="E15" s="54" t="n">
        <f aca="false">D15-C15</f>
        <v>0</v>
      </c>
      <c r="F15" s="64" t="str">
        <f aca="false">IF(D15=0,"OK","REVIEW")</f>
        <v>OK</v>
      </c>
      <c r="G15" s="63" t="s">
        <v>245</v>
      </c>
    </row>
    <row r="16" customFormat="false" ht="31.5" hidden="false" customHeight="true" outlineLevel="0" collapsed="false">
      <c r="A16" s="58" t="n">
        <v>11</v>
      </c>
      <c r="B16" s="63" t="s">
        <v>246</v>
      </c>
      <c r="C16" s="54" t="n">
        <f aca="false">0</f>
        <v>0</v>
      </c>
      <c r="D16" s="54" t="n">
        <f aca="false">SUMPRODUCT(--(Matrix!$D$14:$G$18&gt;Matrix!$C$14:$F$18))</f>
        <v>0</v>
      </c>
      <c r="E16" s="54" t="n">
        <f aca="false">D16-C16</f>
        <v>0</v>
      </c>
      <c r="F16" s="64" t="str">
        <f aca="false">IF(D16=0,"OK","REVIEW")</f>
        <v>OK</v>
      </c>
      <c r="G16" s="63" t="s">
        <v>247</v>
      </c>
    </row>
    <row r="17" customFormat="false" ht="31.5" hidden="false" customHeight="true" outlineLevel="0" collapsed="false">
      <c r="A17" s="58" t="n">
        <v>12</v>
      </c>
      <c r="B17" s="63" t="s">
        <v>248</v>
      </c>
      <c r="C17" s="54" t="n">
        <f aca="false">0</f>
        <v>0</v>
      </c>
      <c r="D17" s="54" t="n">
        <f aca="false">COUNTIF(Ranges!$F$5:$F$16,"CHECK")</f>
        <v>0</v>
      </c>
      <c r="E17" s="54" t="n">
        <f aca="false">D17-C17</f>
        <v>0</v>
      </c>
      <c r="F17" s="64" t="str">
        <f aca="false">IF(D17=0,"OK","CHECK")</f>
        <v>OK</v>
      </c>
      <c r="G17" s="63" t="s">
        <v>249</v>
      </c>
    </row>
    <row r="18" customFormat="false" ht="31.5" hidden="false" customHeight="true" outlineLevel="0" collapsed="false">
      <c r="A18" s="58" t="n">
        <v>13</v>
      </c>
      <c r="B18" s="63" t="s">
        <v>250</v>
      </c>
      <c r="C18" s="54" t="n">
        <f aca="false">0</f>
        <v>0</v>
      </c>
      <c r="D18" s="54" t="n">
        <f aca="false">COUNTIF(Roster!$T$5:$T$254,"&gt;1")+COUNTIF(Roster!$T$5:$T$254,"&lt;0")</f>
        <v>0</v>
      </c>
      <c r="E18" s="54" t="n">
        <f aca="false">D18-C18</f>
        <v>0</v>
      </c>
      <c r="F18" s="64" t="str">
        <f aca="false">IF(D18=0,"OK","CHECK")</f>
        <v>OK</v>
      </c>
      <c r="G18" s="63" t="s">
        <v>251</v>
      </c>
    </row>
    <row r="19" customFormat="false" ht="31.5" hidden="false" customHeight="true" outlineLevel="0" collapsed="false">
      <c r="A19" s="58" t="n">
        <v>14</v>
      </c>
      <c r="B19" s="63" t="s">
        <v>252</v>
      </c>
      <c r="C19" s="54" t="n">
        <f aca="false">0</f>
        <v>0</v>
      </c>
      <c r="D19" s="54" t="n">
        <f aca="false">IF(PeriodStart&gt;=PeriodEnd,1,0)+IF(FYStart&gt;=FYEnd,1,0)+IF(Cutoff&gt;PeriodEnd,1,0)</f>
        <v>0</v>
      </c>
      <c r="E19" s="54" t="n">
        <f aca="false">D19-C19</f>
        <v>0</v>
      </c>
      <c r="F19" s="64" t="str">
        <f aca="false">IF(D19=0,"OK","CHECK")</f>
        <v>OK</v>
      </c>
      <c r="G19" s="63" t="s">
        <v>253</v>
      </c>
    </row>
    <row r="20" customFormat="false" ht="31.5" hidden="false" customHeight="true" outlineLevel="0" collapsed="false">
      <c r="A20" s="58" t="n">
        <v>15</v>
      </c>
      <c r="B20" s="63" t="s">
        <v>254</v>
      </c>
      <c r="C20" s="54" t="n">
        <f aca="false">0</f>
        <v>0</v>
      </c>
      <c r="D20" s="54" t="n">
        <f aca="false">IF(AND(ISNUMBER(BudgetPct),BudgetPct&gt;0,BudgetPct&lt;=1),0,1)</f>
        <v>0</v>
      </c>
      <c r="E20" s="54" t="n">
        <f aca="false">D20-C20</f>
        <v>0</v>
      </c>
      <c r="F20" s="64" t="str">
        <f aca="false">IF(D20=0,"OK","CHECK")</f>
        <v>OK</v>
      </c>
      <c r="G20" s="63" t="s">
        <v>255</v>
      </c>
    </row>
    <row r="21" customFormat="false" ht="31.5" hidden="false" customHeight="true" outlineLevel="0" collapsed="false">
      <c r="A21" s="58" t="n">
        <v>16</v>
      </c>
      <c r="B21" s="63" t="s">
        <v>256</v>
      </c>
      <c r="C21" s="65" t="n">
        <f aca="false">Budget!B13</f>
        <v>49455</v>
      </c>
      <c r="D21" s="65" t="n">
        <f aca="false">Budget!B15</f>
        <v>48831.6666666667</v>
      </c>
      <c r="E21" s="65" t="n">
        <f aca="false">D21-C21</f>
        <v>-623.333333333329</v>
      </c>
      <c r="F21" s="64" t="str">
        <f aca="false">IF(Budget!B20="Over budget","CHECK","OK")</f>
        <v>OK</v>
      </c>
      <c r="G21" s="63" t="s">
        <v>257</v>
      </c>
    </row>
    <row r="22" customFormat="false" ht="31.5" hidden="false" customHeight="true" outlineLevel="0" collapsed="false">
      <c r="A22" s="58" t="n">
        <v>17</v>
      </c>
      <c r="B22" s="63" t="s">
        <v>258</v>
      </c>
      <c r="C22" s="32" t="n">
        <f aca="false">BudgetPct</f>
        <v>0.03</v>
      </c>
      <c r="D22" s="32" t="n">
        <f aca="false">Budget!B16</f>
        <v>0.0296218784753817</v>
      </c>
      <c r="E22" s="32" t="n">
        <f aca="false">D22-C22</f>
        <v>-0.000378121524618337</v>
      </c>
      <c r="F22" s="64" t="str">
        <f aca="false">IF(Budget!B8&lt;=0,"OK",IF(Budget!B20="Under budget","REVIEW","OK"))</f>
        <v>OK</v>
      </c>
      <c r="G22" s="63" t="s">
        <v>259</v>
      </c>
    </row>
    <row r="23" customFormat="false" ht="31.5" hidden="false" customHeight="true" outlineLevel="0" collapsed="false">
      <c r="A23" s="58" t="n">
        <v>18</v>
      </c>
      <c r="B23" s="63" t="s">
        <v>260</v>
      </c>
      <c r="C23" s="54" t="n">
        <f aca="false">0</f>
        <v>0</v>
      </c>
      <c r="D23" s="54" t="n">
        <f aca="false">COUNTIF(Roster!$AB$5:$AB$254,"*Above range max*")</f>
        <v>0</v>
      </c>
      <c r="E23" s="54" t="n">
        <f aca="false">D23-C23</f>
        <v>0</v>
      </c>
      <c r="F23" s="64" t="str">
        <f aca="false">IF(D23=0,"OK","REVIEW")</f>
        <v>OK</v>
      </c>
      <c r="G23" s="63" t="s">
        <v>261</v>
      </c>
    </row>
    <row r="24" customFormat="false" ht="31.5" hidden="false" customHeight="true" outlineLevel="0" collapsed="false">
      <c r="A24" s="58" t="n">
        <v>19</v>
      </c>
      <c r="B24" s="63" t="s">
        <v>262</v>
      </c>
      <c r="C24" s="54" t="n">
        <f aca="false">0</f>
        <v>0</v>
      </c>
      <c r="D24" s="54" t="n">
        <f aca="false">COUNTIFS(Roster!$G$5:$G$254,"&lt;&gt;",Roster!$H$5:$H$254,"")</f>
        <v>0</v>
      </c>
      <c r="E24" s="54" t="n">
        <f aca="false">D24-C24</f>
        <v>0</v>
      </c>
      <c r="F24" s="64" t="str">
        <f aca="false">IF(D24=0,"OK","REVIEW")</f>
        <v>OK</v>
      </c>
      <c r="G24" s="63" t="s">
        <v>263</v>
      </c>
    </row>
    <row r="25" customFormat="false" ht="31.5" hidden="false" customHeight="true" outlineLevel="0" collapsed="false">
      <c r="A25" s="58" t="n">
        <v>20</v>
      </c>
      <c r="B25" s="63" t="s">
        <v>264</v>
      </c>
      <c r="C25" s="54" t="n">
        <f aca="false">1</f>
        <v>1</v>
      </c>
      <c r="D25" s="54" t="n">
        <f aca="false">Budget!B6</f>
        <v>21</v>
      </c>
      <c r="E25" s="54" t="n">
        <f aca="false">MAX(0,C25-D25)</f>
        <v>0</v>
      </c>
      <c r="F25" s="64" t="str">
        <f aca="false">IF(D25&gt;=C25,"OK","REVIEW")</f>
        <v>OK</v>
      </c>
      <c r="G25" s="63" t="s">
        <v>265</v>
      </c>
    </row>
    <row r="26" customFormat="false" ht="31.5" hidden="false" customHeight="true" outlineLevel="0" collapsed="false">
      <c r="A26" s="58" t="n">
        <v>21</v>
      </c>
      <c r="B26" s="63" t="s">
        <v>266</v>
      </c>
      <c r="C26" s="54" t="n">
        <f aca="false">0</f>
        <v>0</v>
      </c>
      <c r="D26" s="54" t="n">
        <f aca="false">SUMPRODUCT(--(Roster!$G$5:$G$254&lt;&gt;""))-SUMPRODUCT(ISNUMBER(Roster!$G$5:$G$254)*(Roster!$G$5:$G$254&gt;=0)*(Roster!$G$5:$G$254&lt;=1))</f>
        <v>0</v>
      </c>
      <c r="E26" s="54" t="n">
        <f aca="false">D26-C26</f>
        <v>0</v>
      </c>
      <c r="F26" s="64" t="str">
        <f aca="false">IF(D26=0,"OK","CHECK")</f>
        <v>OK</v>
      </c>
      <c r="G26" s="63" t="s">
        <v>267</v>
      </c>
    </row>
    <row r="27" customFormat="false" ht="31.5" hidden="false" customHeight="true" outlineLevel="0" collapsed="false">
      <c r="A27" s="58" t="n">
        <v>22</v>
      </c>
      <c r="B27" s="63" t="s">
        <v>268</v>
      </c>
      <c r="C27" s="54" t="n">
        <f aca="false">0</f>
        <v>0</v>
      </c>
      <c r="D27" s="54" t="n">
        <f aca="false">SUMPRODUCT((Roster!$A$5:$A$254&lt;&gt;"")*(COUNTIF(Roster!$A$5:$A$254,Roster!$A$5:$A$254)&gt;1))</f>
        <v>0</v>
      </c>
      <c r="E27" s="54" t="n">
        <f aca="false">D27-C27</f>
        <v>0</v>
      </c>
      <c r="F27" s="64" t="str">
        <f aca="false">IF(D27=0,"OK","CHECK")</f>
        <v>OK</v>
      </c>
      <c r="G27" s="63" t="s">
        <v>269</v>
      </c>
    </row>
    <row r="28" customFormat="false" ht="31.5" hidden="false" customHeight="true" outlineLevel="0" collapsed="false">
      <c r="A28" s="58" t="n">
        <v>23</v>
      </c>
      <c r="B28" s="63" t="s">
        <v>270</v>
      </c>
      <c r="C28" s="54" t="n">
        <f aca="false">0</f>
        <v>0</v>
      </c>
      <c r="D28" s="54" t="n">
        <f aca="false">IF(OR(Basis="Compa-ratio",Basis="Position in range"),0,1)+IF(OR(ProrateMethod="None",ProrateMethod="Monthly",ProrateMethod="Daily"),0,1)+IF(OR(CapAtMax="Yes",CapAtMax="No"),0,1)+IF(AND(ISNUMBER(MonthCutDay),MonthCutDay&gt;=1,MonthCutDay&lt;=31),0,1)+IF(AND(ISNUMBER(Tol),Tol&gt;=0),0,1)+6-COUNT(PeriodStart,PeriodEnd,Cutoff,EffDate,FYStart,FYEnd)</f>
        <v>0</v>
      </c>
      <c r="E28" s="54" t="n">
        <f aca="false">D28-C28</f>
        <v>0</v>
      </c>
      <c r="F28" s="64" t="str">
        <f aca="false">IF(D28=0,"OK","CHECK")</f>
        <v>OK</v>
      </c>
      <c r="G28" s="63" t="s">
        <v>271</v>
      </c>
    </row>
    <row r="29" customFormat="false" ht="31.5" hidden="false" customHeight="true" outlineLevel="0" collapsed="false">
      <c r="A29" s="58" t="n">
        <v>24</v>
      </c>
      <c r="B29" s="63" t="s">
        <v>272</v>
      </c>
      <c r="C29" s="54" t="n">
        <f aca="false">0</f>
        <v>0</v>
      </c>
      <c r="D29" s="54" t="n">
        <f aca="false">SUMPRODUCT(--(((Roster!$A$255:$A$1254&lt;&gt;"")+(Roster!$B$255:$B$1254&lt;&gt;"")+(Roster!$C$255:$C$1254&lt;&gt;"")+(Roster!$D$255:$D$1254&lt;&gt;"")+(Roster!$E$255:$E$1254&lt;&gt;"")+(Roster!$F$255:$F$1254&lt;&gt;"")+(Roster!$G$255:$G$1254&lt;&gt;"")+(Roster!$H$255:$H$1254&lt;&gt;""))&gt;0))</f>
        <v>0</v>
      </c>
      <c r="E29" s="54" t="n">
        <f aca="false">D29-C29</f>
        <v>0</v>
      </c>
      <c r="F29" s="64" t="str">
        <f aca="false">IF(D29=0,"OK","CHECK")</f>
        <v>OK</v>
      </c>
      <c r="G29" s="63" t="s">
        <v>273</v>
      </c>
    </row>
    <row r="30" customFormat="false" ht="31.5" hidden="false" customHeight="true" outlineLevel="0" collapsed="false">
      <c r="A30" s="58" t="n">
        <v>25</v>
      </c>
      <c r="B30" s="63" t="s">
        <v>274</v>
      </c>
      <c r="C30" s="54" t="n">
        <f aca="false">0</f>
        <v>0</v>
      </c>
      <c r="D30" s="54" t="n">
        <f aca="false">SUMPRODUCT(--ISERROR(Roster!$I$5:$AB$254))+SUMPRODUCT(--ISERROR(Budget!$B$5:$B$28))+SUMPRODUCT(--ISERROR(Budget!$C$32:$G$37))+SUMPRODUCT(--ISERROR(Budget!$C$41:$G$46))+SUMPRODUCT(--ISERROR(Matrix!$C$9:$G$10))+SUMPRODUCT(--ISERROR(Matrix!$C$26:$G$30))+SUMPRODUCT(--ISERROR(Matrix!$C$34:$G$38))+SUMPRODUCT(--ISERROR(Budget!$B$49:$B$51))+SUMPRODUCT(--ISERROR(Settings!$B$23))</f>
        <v>0</v>
      </c>
      <c r="E30" s="54" t="n">
        <f aca="false">D30-C30</f>
        <v>0</v>
      </c>
      <c r="F30" s="64" t="str">
        <f aca="false">IF(D30=0,"OK","CHECK")</f>
        <v>OK</v>
      </c>
      <c r="G30" s="63" t="s">
        <v>275</v>
      </c>
    </row>
  </sheetData>
  <mergeCells count="1">
    <mergeCell ref="C3:E3"/>
  </mergeCells>
  <conditionalFormatting sqref="F6:F30">
    <cfRule type="expression" priority="2" aboveAverage="0" equalAverage="0" bottom="0" percent="0" rank="0" text="" dxfId="3">
      <formula>$F6="OK"</formula>
    </cfRule>
    <cfRule type="expression" priority="3" aboveAverage="0" equalAverage="0" bottom="0" percent="0" rank="0" text="" dxfId="2">
      <formula>$F6="CHECK"</formula>
    </cfRule>
    <cfRule type="expression" priority="4" aboveAverage="0" equalAverage="0" bottom="0" percent="0" rank="0" text="" dxfId="4">
      <formula>$F6="REVIEW"</formula>
    </cfRule>
  </conditionalFormatting>
  <conditionalFormatting sqref="C3:E3">
    <cfRule type="expression" priority="5" aboveAverage="0" equalAverage="0" bottom="0" percent="0" rank="0" text="" dxfId="2">
      <formula>ISNUMBER(SEARCH("fix",C3))</formula>
    </cfRule>
    <cfRule type="expression" priority="6" aboveAverage="0" equalAverage="0" bottom="0" percent="0" rank="0" text="" dxfId="4">
      <formula>ISNUMBER(SEARCH("review",C3))</formula>
    </cfRule>
    <cfRule type="expression" priority="7" aboveAverage="0" equalAverage="0" bottom="0" percent="0" rank="0" text="" dxfId="3">
      <formula>ISNUMBER(SEARCH("All checks pass",C3))</formula>
    </cfRule>
  </conditionalFormatting>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2026-10-28T05:23:21Z</dcterms:created>
  <dc:creator>HR Riant</dc:creator>
  <dc:description/>
  <dc:language>en-US</dc:language>
  <cp:lastModifiedBy/>
  <dcterms:modified xsi:type="dcterms:W3CDTF">2026-10-28T05:23:21Z</dcterms:modified>
  <cp:revision>0</cp:revision>
  <dc:subject>Merit matrix, budget calculator and proration (planning aid)</dc:subject>
  <dc:title>Merit increase matrix 2027</dc:title>
</cp:coreProperties>
</file>

<file path=docProps/custom.xml><?xml version="1.0" encoding="utf-8"?>
<Properties xmlns="http://schemas.openxmlformats.org/officeDocument/2006/custom-properties" xmlns:vt="http://schemas.openxmlformats.org/officeDocument/2006/docPropsVTypes"/>
</file>