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Headcount" sheetId="2" state="visible" r:id="rId4"/>
    <sheet name="Funnel" sheetId="3" state="visible" r:id="rId5"/>
    <sheet name="Capacity" sheetId="4" state="visible" r:id="rId6"/>
    <sheet name="Channels" sheetId="5" state="visible" r:id="rId7"/>
    <sheet name="Summary" sheetId="6" state="visible" r:id="rId8"/>
    <sheet name="Checks" sheetId="7" state="visible" r:id="rId9"/>
  </sheets>
  <definedNames>
    <definedName function="false" hidden="false" localSheetId="3" name="_xlnm.Print_Area" vbProcedure="false">Capacity!$A$1:$G$63</definedName>
    <definedName function="false" hidden="false" localSheetId="3" name="_xlnm.Print_Titles" vbProcedure="false">Capacity!$1:$2</definedName>
    <definedName function="false" hidden="false" localSheetId="4" name="_xlnm.Print_Area" vbProcedure="false">Channels!$A$1:$L$52</definedName>
    <definedName function="false" hidden="false" localSheetId="4" name="_xlnm.Print_Titles" vbProcedure="false">Channels!$1:$2</definedName>
    <definedName function="false" hidden="false" localSheetId="6" name="_xlnm.Print_Area" vbProcedure="false">Checks!$A$1:$F$33</definedName>
    <definedName function="false" hidden="false" localSheetId="6" name="_xlnm.Print_Titles" vbProcedure="false">Checks!$1:$2</definedName>
    <definedName function="false" hidden="false" localSheetId="2" name="_xlnm.Print_Area" vbProcedure="false">Funnel!$A$1:$L$30</definedName>
    <definedName function="false" hidden="false" localSheetId="2" name="_xlnm.Print_Titles" vbProcedure="false">Funnel!$1:$2</definedName>
    <definedName function="false" hidden="false" localSheetId="1" name="_xlnm.Print_Area" vbProcedure="false">Headcount!$A$1:$F$67</definedName>
    <definedName function="false" hidden="false" localSheetId="1" name="_xlnm.Print_Titles" vbProcedure="false">Headcount!$1:$2</definedName>
    <definedName function="false" hidden="false" localSheetId="0" name="_xlnm.Print_Area" vbProcedure="false">'Read me'!$A$1:$B$42</definedName>
    <definedName function="false" hidden="false" localSheetId="0" name="_xlnm.Print_Titles" vbProcedure="false">'Read me'!$1:$2</definedName>
    <definedName function="false" hidden="false" localSheetId="5" name="_xlnm.Print_Area" vbProcedure="false">Summary!$A$1:$F$34</definedName>
    <definedName function="false" hidden="false" localSheetId="5" name="_xlnm.Print_Titles" vbProcedure="false">Summary!$1:$2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<sst xmlns="http://schemas.openxmlformats.org/spreadsheetml/2006/main" count="339" uniqueCount="218">
  <si>
    <t xml:space="preserve">Recruiting Plan 2027</t>
  </si>
  <si>
    <t xml:space="preserve">Template from HR Riant, hrriant.com</t>
  </si>
  <si>
    <t xml:space="preserve">This workbook is a planning aid. It is not legal, tax or financial advice. Your agency contracts, local employment rules and finance policies override anything it calculates.</t>
  </si>
  <si>
    <t xml:space="preserve">What it does</t>
  </si>
  <si>
    <t xml:space="preserve">Purpose</t>
  </si>
  <si>
    <t xml:space="preserve">It turns a hiring forecast into a 2027 recruiting plan: hires by quarter and role family, the funnel volume those hires need, the recruiter capacity to run it, and a budget split across agency, job board and referral channels.</t>
  </si>
  <si>
    <t xml:space="preserve">How to fill it, in this order</t>
  </si>
  <si>
    <t xml:space="preserve">1. Headcount</t>
  </si>
  <si>
    <t xml:space="preserve">Set the plan name, currency and days per month. Name your role families (six rows: set unused rows to zero, or merge families). Enter opening headcount, the annual leaver rate, the backfill rule and new positions by quarter.</t>
  </si>
  <si>
    <t xml:space="preserve">2. Funnel</t>
  </si>
  <si>
    <t xml:space="preserve">Enter time to fill (days from requisition opened to offer accepted), hires per requisition and the four stage-to-stage conversion rates.</t>
  </si>
  <si>
    <t xml:space="preserve">3. Capacity</t>
  </si>
  <si>
    <t xml:space="preserve">Enter your recruiter team, the share of their time that goes to candidate work, the working hours per recruiter per quarter, the loaded annual cost per recruiter, the open requisitions one recruiter can carry and the minutes of recruiter time per stage, and choose a capacity method.</t>
  </si>
  <si>
    <t xml:space="preserve">4. Channels</t>
  </si>
  <si>
    <t xml:space="preserve">Enter average base salary, the share of hires by channel, the agency fee rate, the cost per hire for the other channels, the fixed annual costs and the approved budget.</t>
  </si>
  <si>
    <t xml:space="preserve">5. Summary and Checks</t>
  </si>
  <si>
    <t xml:space="preserve">Read Summary, then open Checks. Fix every CHECK before you share the plan. A REVIEW flag is a planning warning, not an error.</t>
  </si>
  <si>
    <t xml:space="preserve">Colors</t>
  </si>
  <si>
    <t xml:space="preserve">Blue on yellow</t>
  </si>
  <si>
    <t xml:space="preserve">Input: type here. Most inputs have a validation rule.</t>
  </si>
  <si>
    <t xml:space="preserve">Black</t>
  </si>
  <si>
    <t xml:space="preserve">Formula: do not type over it.</t>
  </si>
  <si>
    <t xml:space="preserve">OK</t>
  </si>
  <si>
    <t xml:space="preserve">A check that ties.</t>
  </si>
  <si>
    <t xml:space="preserve">CHECK</t>
  </si>
  <si>
    <t xml:space="preserve">A check that failed: totals do not tie, or an input is missing, typed as text or out of range.</t>
  </si>
  <si>
    <t xml:space="preserve">REVIEW</t>
  </si>
  <si>
    <t xml:space="preserve">A planning flag, for example a quarter with too few recruiters or a plan over budget.</t>
  </si>
  <si>
    <t xml:space="preserve">Sheets</t>
  </si>
  <si>
    <t xml:space="preserve">Headcount</t>
  </si>
  <si>
    <t xml:space="preserve">Opening headcount, leavers, backfills, new positions and total hires by quarter and role family.</t>
  </si>
  <si>
    <t xml:space="preserve">Funnel</t>
  </si>
  <si>
    <t xml:space="preserve">Time to fill and stage conversion, and the offers, interviews, screens and applicants the hires need.</t>
  </si>
  <si>
    <t xml:space="preserve">Capacity</t>
  </si>
  <si>
    <t xml:space="preserve">Recruiter FTE needed by quarter on two lenses, against the team you have.</t>
  </si>
  <si>
    <t xml:space="preserve">Channels</t>
  </si>
  <si>
    <t xml:space="preserve">Hires and cost by agency, job board, referral and direct channel, by quarter, against the approved budget.</t>
  </si>
  <si>
    <t xml:space="preserve">Summary</t>
  </si>
  <si>
    <t xml:space="preserve">The plan on one page.</t>
  </si>
  <si>
    <t xml:space="preserve">Checks</t>
  </si>
  <si>
    <t xml:space="preserve">Ties and input checks that must read OK, and planning flags. The input checks catch text in a number cell, rates outside 0% to 100%, and a blank or zero salary, agency fee rate, minutes per stage or recruiter cost. They cannot tell whether a plausible number is right.</t>
  </si>
  <si>
    <t xml:space="preserve">How the numbers work</t>
  </si>
  <si>
    <t xml:space="preserve">Leavers and backfills</t>
  </si>
  <si>
    <t xml:space="preserve">Leavers in a quarter = headcount at the start of the quarter x annual leaver rate / 4. Backfill hires equal leavers when the rule is Yes and zero when it is No.</t>
  </si>
  <si>
    <t xml:space="preserve">Hires</t>
  </si>
  <si>
    <t xml:space="preserve">Hires = new positions + backfill hires. They are expected loads, so fractions are normal. Round when you open requisitions.</t>
  </si>
  <si>
    <t xml:space="preserve">Open requisitions</t>
  </si>
  <si>
    <t xml:space="preserve">Average open requisitions = hires per month x time to fill / days per month / hires per requisition.</t>
  </si>
  <si>
    <t xml:space="preserve">Recruiter FTE</t>
  </si>
  <si>
    <t xml:space="preserve">Requisition lens = average open requisitions / requisitions one recruiter can carry. Funnel-hours lens = recruiter hours per hire x hires / working hours per recruiter per quarter. Working hours are gross hours: the share of time that goes to candidate work is applied to the recruiters on staff to get available FTE, so do not net it out of the hours.</t>
  </si>
  <si>
    <t xml:space="preserve">Channel cost</t>
  </si>
  <si>
    <t xml:space="preserve">Cost = hires x channel share x cost per hire in that channel. Agency cost per hire = average base salary x agency fee rate. Fixed costs are spread evenly over four quarters.</t>
  </si>
  <si>
    <t xml:space="preserve">Timing</t>
  </si>
  <si>
    <t xml:space="preserve">Hires and spend fall in the quarter of the start date. The workbook does not open requisitions early to cover time to fill, so read Q1 with the requisitions already open at year end in mind.</t>
  </si>
  <si>
    <t xml:space="preserve">Example data</t>
  </si>
  <si>
    <t xml:space="preserve">Illustrative</t>
  </si>
  <si>
    <t xml:space="preserve">The input cells hold round, invented figures so you can watch the workbook work. They are not benchmarks. Overwrite every one with your own numbers.</t>
  </si>
  <si>
    <t xml:space="preserve">Checks status</t>
  </si>
  <si>
    <t xml:space="preserve">Planning flags</t>
  </si>
  <si>
    <t xml:space="preserve">Headcount plan 2027, by quarter and role family</t>
  </si>
  <si>
    <t xml:space="preserve">Fill the yellow input cells in sections 1 and 2. Everything else calculates. Hires are expected loads, so fractions are normal.</t>
  </si>
  <si>
    <t xml:space="preserve">The workbook has six role-family rows. Set unused rows to zero, or merge families if you have more than six.</t>
  </si>
  <si>
    <t xml:space="preserve">Plan settings</t>
  </si>
  <si>
    <t xml:space="preserve">Plan or company name (optional)</t>
  </si>
  <si>
    <t xml:space="preserve">Example Co (illustrative)</t>
  </si>
  <si>
    <t xml:space="preserve">Currency</t>
  </si>
  <si>
    <t xml:space="preserve">USD</t>
  </si>
  <si>
    <t xml:space="preserve">Days per month (for time to fill)</t>
  </si>
  <si>
    <t xml:space="preserve">1. Role families and rules</t>
  </si>
  <si>
    <t xml:space="preserve">Role family</t>
  </si>
  <si>
    <t xml:space="preserve">Opening headcount, Jan 1, 2027</t>
  </si>
  <si>
    <t xml:space="preserve">Annual leaver rate</t>
  </si>
  <si>
    <t xml:space="preserve">Backfill leavers?</t>
  </si>
  <si>
    <t xml:space="preserve">Engineering</t>
  </si>
  <si>
    <t xml:space="preserve">Yes</t>
  </si>
  <si>
    <t xml:space="preserve">Sales</t>
  </si>
  <si>
    <t xml:space="preserve">Customer support</t>
  </si>
  <si>
    <t xml:space="preserve">Operations</t>
  </si>
  <si>
    <t xml:space="preserve">Corporate functions</t>
  </si>
  <si>
    <t xml:space="preserve">Leadership</t>
  </si>
  <si>
    <t xml:space="preserve">Total (leaver rate is headcount-weighted)</t>
  </si>
  <si>
    <t xml:space="preserve">2. New positions (growth hires) by quarter</t>
  </si>
  <si>
    <t xml:space="preserve">Q1</t>
  </si>
  <si>
    <t xml:space="preserve">Q2</t>
  </si>
  <si>
    <t xml:space="preserve">Q3</t>
  </si>
  <si>
    <t xml:space="preserve">Q4</t>
  </si>
  <si>
    <t xml:space="preserve">2027</t>
  </si>
  <si>
    <t xml:space="preserve">Total</t>
  </si>
  <si>
    <t xml:space="preserve">3. Leavers (start-of-quarter headcount x annual rate / 4)</t>
  </si>
  <si>
    <t xml:space="preserve">4. Backfill hires (equal to leavers when the rule is Yes)</t>
  </si>
  <si>
    <t xml:space="preserve">5. Total hires (new positions + backfills)</t>
  </si>
  <si>
    <t xml:space="preserve">6. Headcount at end of quarter</t>
  </si>
  <si>
    <t xml:space="preserve">Change in 2027</t>
  </si>
  <si>
    <t xml:space="preserve">Time to fill and funnel conversion</t>
  </si>
  <si>
    <t xml:space="preserve">Use your own applicant tracking data for the last 12 months. Time to fill = days from requisition opened to offer accepted.</t>
  </si>
  <si>
    <t xml:space="preserve">Rates are stage to stage: the share of people at one stage who reach the next one.</t>
  </si>
  <si>
    <t xml:space="preserve">1. Inputs and per-hire funnel</t>
  </si>
  <si>
    <t xml:space="preserve">Time to fill (days)</t>
  </si>
  <si>
    <t xml:space="preserve">Hires per requisition</t>
  </si>
  <si>
    <t xml:space="preserve">Applied to screened</t>
  </si>
  <si>
    <t xml:space="preserve">Screened to interviewed</t>
  </si>
  <si>
    <t xml:space="preserve">Interviewed to offered</t>
  </si>
  <si>
    <t xml:space="preserve">Offered to accepted</t>
  </si>
  <si>
    <t xml:space="preserve">Applied to hire</t>
  </si>
  <si>
    <t xml:space="preserve">Applicants per hire</t>
  </si>
  <si>
    <t xml:space="preserve">Candidates screened per hire</t>
  </si>
  <si>
    <t xml:space="preserve">Candidates interviewed per hire</t>
  </si>
  <si>
    <t xml:space="preserve">Offers per hire</t>
  </si>
  <si>
    <t xml:space="preserve">Hire-weighted average</t>
  </si>
  <si>
    <t xml:space="preserve">2. Funnel volumes the plan implies, 2027</t>
  </si>
  <si>
    <t xml:space="preserve">Offers to extend</t>
  </si>
  <si>
    <t xml:space="preserve">Candidates interviewed</t>
  </si>
  <si>
    <t xml:space="preserve">Candidates screened</t>
  </si>
  <si>
    <t xml:space="preserve">Applicants needed</t>
  </si>
  <si>
    <t xml:space="preserve">3. Funnel volumes by quarter, all role families</t>
  </si>
  <si>
    <t xml:space="preserve">Volume</t>
  </si>
  <si>
    <t xml:space="preserve">Recruiter capacity by quarter</t>
  </si>
  <si>
    <t xml:space="preserve">Two lenses: open requisitions per recruiter, and recruiter hours from the funnel. The method cell picks which one drives the plan.</t>
  </si>
  <si>
    <t xml:space="preserve">1. Team and method</t>
  </si>
  <si>
    <t xml:space="preserve">Recruiters on staff, Jan 1, 2027</t>
  </si>
  <si>
    <t xml:space="preserve">Share of a recruiter's time that goes to candidate work</t>
  </si>
  <si>
    <t xml:space="preserve">Applied to the staff count to get available FTE.</t>
  </si>
  <si>
    <t xml:space="preserve">Working hours per recruiter per quarter</t>
  </si>
  <si>
    <t xml:space="preserve">Gross hours. The share of time above is applied to staff, not to these hours.</t>
  </si>
  <si>
    <t xml:space="preserve">Capacity method</t>
  </si>
  <si>
    <t xml:space="preserve">Higher of the two</t>
  </si>
  <si>
    <t xml:space="preserve">Team changes</t>
  </si>
  <si>
    <t xml:space="preserve">Recruiters added at the start of the quarter</t>
  </si>
  <si>
    <t xml:space="preserve">2. Load inputs by role family</t>
  </si>
  <si>
    <t xml:space="preserve">Open requisitions one recruiter can carry</t>
  </si>
  <si>
    <t xml:space="preserve">Minutes per applicant reviewed</t>
  </si>
  <si>
    <t xml:space="preserve">Minutes per screening call</t>
  </si>
  <si>
    <t xml:space="preserve">Recruiter minutes per interview</t>
  </si>
  <si>
    <t xml:space="preserve">Minutes per offer (negotiate and close)</t>
  </si>
  <si>
    <t xml:space="preserve">Recruiter hours per hire</t>
  </si>
  <si>
    <t xml:space="preserve">3. Average open requisitions in the quarter</t>
  </si>
  <si>
    <t xml:space="preserve">4. Recruiter FTE needed, requisition lens</t>
  </si>
  <si>
    <t xml:space="preserve">5. Recruiter FTE needed, funnel-hours lens</t>
  </si>
  <si>
    <t xml:space="preserve">6. Team against need</t>
  </si>
  <si>
    <t xml:space="preserve">Measure</t>
  </si>
  <si>
    <t xml:space="preserve">Recruiters on staff</t>
  </si>
  <si>
    <t xml:space="preserve">Available recruiter FTE (staff x share of time)</t>
  </si>
  <si>
    <t xml:space="preserve">FTE needed, requisition lens</t>
  </si>
  <si>
    <t xml:space="preserve">FTE needed, funnel-hours lens</t>
  </si>
  <si>
    <t xml:space="preserve">FTE needed, method chosen</t>
  </si>
  <si>
    <t xml:space="preserve">Gap (needed minus available)</t>
  </si>
  <si>
    <t xml:space="preserve">Capacity used (needed / available)</t>
  </si>
  <si>
    <t xml:space="preserve">Status</t>
  </si>
  <si>
    <t xml:space="preserve">Channel mix and budget</t>
  </si>
  <si>
    <t xml:space="preserve">Channels: agency, job boards and ads, referrals, and direct and other (careers site, own sourcing, internal moves). Shares must total 100%.</t>
  </si>
  <si>
    <t xml:space="preserve">1. Channel inputs by role family</t>
  </si>
  <si>
    <t xml:space="preserve">Agency share of hires</t>
  </si>
  <si>
    <t xml:space="preserve">Job board and ad share of hires</t>
  </si>
  <si>
    <t xml:space="preserve">Referral share of hires</t>
  </si>
  <si>
    <t xml:space="preserve">Direct and other share of hires</t>
  </si>
  <si>
    <t xml:space="preserve">Shares total</t>
  </si>
  <si>
    <t xml:space="preserve">Agency fee (% of first-year base)</t>
  </si>
  <si>
    <t xml:space="preserve">2. Hires by channel, 2027</t>
  </si>
  <si>
    <t xml:space="preserve">Agency</t>
  </si>
  <si>
    <t xml:space="preserve">Job boards and ads</t>
  </si>
  <si>
    <t xml:space="preserve">Referrals</t>
  </si>
  <si>
    <t xml:space="preserve">Direct and other</t>
  </si>
  <si>
    <t xml:space="preserve">Agency fees</t>
  </si>
  <si>
    <t xml:space="preserve">Referral bonuses</t>
  </si>
  <si>
    <t xml:space="preserve">Cost per hire</t>
  </si>
  <si>
    <t xml:space="preserve">Cost</t>
  </si>
  <si>
    <t xml:space="preserve">Channel</t>
  </si>
  <si>
    <t xml:space="preserve">Share of spend</t>
  </si>
  <si>
    <t xml:space="preserve">Total channel spend</t>
  </si>
  <si>
    <t xml:space="preserve">6. Approved budget</t>
  </si>
  <si>
    <t xml:space="preserve">Planned channel spend</t>
  </si>
  <si>
    <t xml:space="preserve">Planned recruiter cost</t>
  </si>
  <si>
    <t xml:space="preserve">Planned total</t>
  </si>
  <si>
    <t xml:space="preserve">Approved minus planned</t>
  </si>
  <si>
    <t xml:space="preserve">2027 recruiting plan summary</t>
  </si>
  <si>
    <t xml:space="preserve">New positions</t>
  </si>
  <si>
    <t xml:space="preserve">Backfill hires</t>
  </si>
  <si>
    <t xml:space="preserve">Total hires</t>
  </si>
  <si>
    <t xml:space="preserve">Headcount at end of quarter</t>
  </si>
  <si>
    <t xml:space="preserve">Average open requisitions</t>
  </si>
  <si>
    <t xml:space="preserve">Recruiter FTE needed (method chosen)</t>
  </si>
  <si>
    <t xml:space="preserve">Recruiter FTE available</t>
  </si>
  <si>
    <t xml:space="preserve">Capacity status</t>
  </si>
  <si>
    <t xml:space="preserve">Hires by role family, 2027</t>
  </si>
  <si>
    <t xml:space="preserve">Backfills</t>
  </si>
  <si>
    <t xml:space="preserve">Share of hires</t>
  </si>
  <si>
    <t xml:space="preserve">Headcount at Dec 31</t>
  </si>
  <si>
    <t xml:space="preserve">Every CHECK must read OK before you share the plan. REVIEW flags are planning warnings, not errors.</t>
  </si>
  <si>
    <t xml:space="preserve">Overall status (ties and input checks)</t>
  </si>
  <si>
    <t xml:space="preserve">Ties and input checks</t>
  </si>
  <si>
    <t xml:space="preserve">#</t>
  </si>
  <si>
    <t xml:space="preserve">Check</t>
  </si>
  <si>
    <t xml:space="preserve">Expected</t>
  </si>
  <si>
    <t xml:space="preserve">Actual</t>
  </si>
  <si>
    <t xml:space="preserve">Difference</t>
  </si>
  <si>
    <t xml:space="preserve">Closing headcount = opening + new positions + backfills - leavers</t>
  </si>
  <si>
    <t xml:space="preserve">Total hires = new positions + backfills</t>
  </si>
  <si>
    <t xml:space="preserve">Quarterly hires on Summary add to annual hires</t>
  </si>
  <si>
    <t xml:space="preserve">Hires by channel add to plan hires</t>
  </si>
  <si>
    <t xml:space="preserve">Variable cost by quarter equals variable cost by role family</t>
  </si>
  <si>
    <t xml:space="preserve">Summary channel spend equals Channels total</t>
  </si>
  <si>
    <t xml:space="preserve">Offers to extend x acceptance rate = hires (role families with an acceptance rate)</t>
  </si>
  <si>
    <t xml:space="preserve">Role families with hires whose channel shares do not total 100% (should be 0)</t>
  </si>
  <si>
    <t xml:space="preserve">Role families with hires and a funnel rate that is blank, zero or above 100% (should be 0)</t>
  </si>
  <si>
    <t xml:space="preserve">Role families with hires and a missing time to fill, hires per requisition or requisitions per recruiter (should be 0)</t>
  </si>
  <si>
    <t xml:space="preserve">Leaver rates, share of recruiter time and agency fee rates outside 0% to 100% (should be 0)</t>
  </si>
  <si>
    <t xml:space="preserve">Backfill cells that are not Yes or No (should be 0)</t>
  </si>
  <si>
    <t xml:space="preserve">Negative opening headcount or negative new positions (should be 0)</t>
  </si>
  <si>
    <t xml:space="preserve">Days per month or working hours per recruiter per quarter at zero or blank (should be 0)</t>
  </si>
  <si>
    <t xml:space="preserve">Text typed or pasted into a number cell, such as n/a, TBD or 25% as text (should be 0)</t>
  </si>
  <si>
    <t xml:space="preserve">Role families with hires and an agency share above 0 whose average base salary or agency fee rate is blank or zero (should be 0)</t>
  </si>
  <si>
    <t xml:space="preserve">Role families with hires and a minutes-per-stage cell that is blank or zero, when the capacity method uses the funnel-hours lens (should be 0)</t>
  </si>
  <si>
    <t xml:space="preserve">Loaded annual cost per recruiter blank or zero while recruiters are on staff or added (should be 0)</t>
  </si>
  <si>
    <t xml:space="preserve">Role families with hires and a channel share above 0 whose cost per hire for that channel is blank (should be 0)</t>
  </si>
  <si>
    <t xml:space="preserve">Flag</t>
  </si>
  <si>
    <t xml:space="preserve">Quarters where recruiter FTE needed is above FTE available (should be 0)</t>
  </si>
  <si>
    <t xml:space="preserve">Planned total above the approved budget (0 = within budget)</t>
  </si>
  <si>
    <t xml:space="preserve">Approved budget entered (1 = yes)</t>
  </si>
</sst>
</file>

<file path=xl/styles.xml><?xml version="1.0" encoding="utf-8"?>
<styleSheet xmlns="http://schemas.openxmlformats.org/spreadsheetml/2006/main">
  <numFmts count="8">
    <numFmt numFmtId="164" formatCode="General"/>
    <numFmt numFmtId="165" formatCode="#,##0"/>
    <numFmt numFmtId="166" formatCode="0.0%"/>
    <numFmt numFmtId="167" formatCode="#,##0.0"/>
    <numFmt numFmtId="168" formatCode="0.00%"/>
    <numFmt numFmtId="169" formatCode="0.00"/>
    <numFmt numFmtId="170" formatCode="0%"/>
    <numFmt numFmtId="171" formatCode="[=1]0&quot; quarter short&quot;;[&gt;1]0&quot; quarters short&quot;;&quot;None short&quot;"/>
  </numFmts>
  <fonts count="11">
    <font>
      <sz val="11"/>
      <color theme="1"/>
      <name val="Calibri"/>
      <family val="2"/>
      <charset val="1"/>
    </font>
    <font>
      <sz val="10"/>
      <name val="Arial"/>
      <family val="0"/>
    </font>
    <font>
      <sz val="10"/>
      <name val="Arial"/>
      <family val="0"/>
    </font>
    <font>
      <sz val="10"/>
      <name val="Arial"/>
      <family val="0"/>
    </font>
    <font>
      <b val="true"/>
      <sz val="16"/>
      <color rgb="FF1F3864"/>
      <name val="Calibri"/>
      <family val="0"/>
      <charset val="1"/>
    </font>
    <font>
      <b val="true"/>
      <sz val="11"/>
      <color rgb="FF000000"/>
      <name val="Calibri"/>
      <family val="0"/>
      <charset val="1"/>
    </font>
    <font>
      <i val="true"/>
      <sz val="10"/>
      <color rgb="FF595959"/>
      <name val="Calibri"/>
      <family val="0"/>
      <charset val="1"/>
    </font>
    <font>
      <b val="true"/>
      <sz val="12"/>
      <color rgb="FF1F3864"/>
      <name val="Calibri"/>
      <family val="0"/>
      <charset val="1"/>
    </font>
    <font>
      <sz val="11"/>
      <color rgb="FF000000"/>
      <name val="Calibri"/>
      <family val="0"/>
      <charset val="1"/>
    </font>
    <font>
      <sz val="11"/>
      <color rgb="FF0000FF"/>
      <name val="Calibri"/>
      <family val="0"/>
      <charset val="1"/>
    </font>
    <font>
      <b val="true"/>
      <sz val="11"/>
      <color rgb="FFFFFFFF"/>
      <name val="Calibri"/>
      <family val="0"/>
      <charset val="1"/>
    </font>
  </fonts>
  <fills count="8">
    <fill>
      <patternFill patternType="none"/>
    </fill>
    <fill>
      <patternFill patternType="gray125"/>
    </fill>
    <fill>
      <patternFill patternType="solid">
        <fgColor rgb="FFFFF2CC"/>
        <bgColor rgb="FFF2F2F2"/>
      </patternFill>
    </fill>
    <fill>
      <patternFill patternType="solid">
        <fgColor rgb="FFC6EFCE"/>
        <bgColor rgb="FFCCFFFF"/>
      </patternFill>
    </fill>
    <fill>
      <patternFill patternType="solid">
        <fgColor rgb="FFFFC7CE"/>
        <bgColor rgb="FFFFEB9C"/>
      </patternFill>
    </fill>
    <fill>
      <patternFill patternType="solid">
        <fgColor rgb="FFFFEB9C"/>
        <bgColor rgb="FFFFF2CC"/>
      </patternFill>
    </fill>
    <fill>
      <patternFill patternType="solid">
        <fgColor rgb="FF1F3864"/>
        <bgColor rgb="FF333333"/>
      </patternFill>
    </fill>
    <fill>
      <patternFill patternType="solid">
        <fgColor rgb="FFF2F2F2"/>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2"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center" vertical="top" textRotation="0" wrapText="false" indent="0" shrinkToFit="false"/>
      <protection locked="true" hidden="false"/>
    </xf>
    <xf numFmtId="164" fontId="8" fillId="4" borderId="1" xfId="0" applyFont="true" applyBorder="true" applyAlignment="true" applyProtection="false">
      <alignment horizontal="center" vertical="top" textRotation="0" wrapText="false" indent="0" shrinkToFit="false"/>
      <protection locked="true" hidden="false"/>
    </xf>
    <xf numFmtId="164" fontId="8" fillId="5" borderId="1" xfId="0" applyFont="true" applyBorder="true" applyAlignment="true" applyProtection="false">
      <alignment horizontal="center" vertical="top"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top" textRotation="0" wrapText="false" indent="0" shrinkToFit="false"/>
      <protection locked="true" hidden="false"/>
    </xf>
    <xf numFmtId="165" fontId="9" fillId="2" borderId="1" xfId="0" applyFont="true" applyBorder="true" applyAlignment="false" applyProtection="false">
      <alignment horizontal="general" vertical="bottom" textRotation="0" wrapText="false" indent="0" shrinkToFit="false"/>
      <protection locked="true" hidden="false"/>
    </xf>
    <xf numFmtId="164" fontId="10" fillId="6" borderId="1" xfId="0" applyFont="true" applyBorder="true" applyAlignment="true" applyProtection="false">
      <alignment horizontal="center" vertical="center" textRotation="0" wrapText="true" indent="0" shrinkToFit="false"/>
      <protection locked="true" hidden="false"/>
    </xf>
    <xf numFmtId="166" fontId="9" fillId="2" borderId="1" xfId="0" applyFont="true" applyBorder="true" applyAlignment="false" applyProtection="false">
      <alignment horizontal="general" vertical="bottom" textRotation="0" wrapText="false" indent="0" shrinkToFit="false"/>
      <protection locked="true" hidden="false"/>
    </xf>
    <xf numFmtId="164" fontId="5" fillId="7" borderId="1" xfId="0" applyFont="true" applyBorder="true" applyAlignment="false" applyProtection="false">
      <alignment horizontal="general" vertical="bottom" textRotation="0" wrapText="false" indent="0" shrinkToFit="false"/>
      <protection locked="true" hidden="false"/>
    </xf>
    <xf numFmtId="165" fontId="5" fillId="7" borderId="1" xfId="0" applyFont="true" applyBorder="true" applyAlignment="false" applyProtection="false">
      <alignment horizontal="general" vertical="bottom" textRotation="0" wrapText="false" indent="0" shrinkToFit="false"/>
      <protection locked="true" hidden="false"/>
    </xf>
    <xf numFmtId="166" fontId="5" fillId="7"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7" fontId="5" fillId="7" borderId="1" xfId="0" applyFont="true" applyBorder="true" applyAlignment="false" applyProtection="false">
      <alignment horizontal="general" vertical="bottom" textRotation="0" wrapText="false" indent="0" shrinkToFit="false"/>
      <protection locked="true" hidden="false"/>
    </xf>
    <xf numFmtId="167" fontId="9" fillId="2" borderId="1" xfId="0" applyFont="true" applyBorder="true" applyAlignment="false" applyProtection="false">
      <alignment horizontal="general" vertical="bottom" textRotation="0" wrapText="false" indent="0" shrinkToFit="false"/>
      <protection locked="true" hidden="false"/>
    </xf>
    <xf numFmtId="168" fontId="8" fillId="0" borderId="1" xfId="0" applyFont="true" applyBorder="true" applyAlignment="false" applyProtection="false">
      <alignment horizontal="general" vertical="bottom" textRotation="0" wrapText="false" indent="0" shrinkToFit="false"/>
      <protection locked="true" hidden="false"/>
    </xf>
    <xf numFmtId="169" fontId="8" fillId="0" borderId="1" xfId="0" applyFont="true" applyBorder="true" applyAlignment="false" applyProtection="false">
      <alignment horizontal="general" vertical="bottom" textRotation="0" wrapText="false" indent="0" shrinkToFit="false"/>
      <protection locked="true" hidden="false"/>
    </xf>
    <xf numFmtId="169" fontId="5" fillId="7" borderId="1" xfId="0" applyFont="true" applyBorder="true" applyAlignment="false" applyProtection="false">
      <alignment horizontal="general" vertical="bottom" textRotation="0" wrapText="false" indent="0" shrinkToFit="false"/>
      <protection locked="true" hidden="false"/>
    </xf>
    <xf numFmtId="170" fontId="9" fillId="2"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1" shrinkToFit="false"/>
      <protection locked="true" hidden="false"/>
    </xf>
    <xf numFmtId="170" fontId="8" fillId="0" borderId="1" xfId="0" applyFont="true" applyBorder="true" applyAlignment="true" applyProtection="false">
      <alignment horizontal="right" vertical="top" textRotation="0" wrapText="false" indent="0" shrinkToFit="false"/>
      <protection locked="true" hidden="false"/>
    </xf>
    <xf numFmtId="164" fontId="8" fillId="0" borderId="1" xfId="0" applyFont="true" applyBorder="true" applyAlignment="true" applyProtection="false">
      <alignment horizontal="center" vertical="top" textRotation="0" wrapText="false" indent="0" shrinkToFit="false"/>
      <protection locked="true" hidden="false"/>
    </xf>
    <xf numFmtId="171" fontId="8" fillId="0" borderId="1" xfId="0" applyFont="true" applyBorder="true" applyAlignment="true" applyProtection="false">
      <alignment horizontal="center" vertical="top"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center" vertical="center" textRotation="0" wrapText="fals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7" fontId="8" fillId="0" borderId="1" xfId="0" applyFont="true" applyBorder="true" applyAlignment="true" applyProtection="false">
      <alignment horizontal="general" vertical="center" textRotation="0" wrapText="false" indent="0" shrinkToFit="false"/>
      <protection locked="true" hidden="false"/>
    </xf>
    <xf numFmtId="165" fontId="8" fillId="0" borderId="1"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bgColor rgb="FFC6EFCE"/>
        </patternFill>
      </fill>
    </dxf>
    <dxf>
      <fill>
        <patternFill>
          <bgColor rgb="FFFFC7CE"/>
        </patternFill>
      </fill>
    </dxf>
    <dxf>
      <fill>
        <patternFill>
          <bgColor rgb="FFFFEB9C"/>
        </patternFill>
      </fill>
    </dxf>
    <dxf>
      <font>
        <name val="Calibri"/>
        <charset val="1"/>
        <family val="0"/>
        <b val="1"/>
        <color rgb="FF9C0006"/>
        <sz val="11"/>
      </font>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4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10"/>
  </cols>
  <sheetData>
    <row r="1" customFormat="false" ht="19.7" hidden="false" customHeight="false" outlineLevel="0" collapsed="false">
      <c r="A1" s="1" t="s">
        <v>0</v>
      </c>
    </row>
    <row r="2" customFormat="false" ht="15" hidden="false" customHeight="false" outlineLevel="0" collapsed="false">
      <c r="A2" s="2" t="s">
        <v>1</v>
      </c>
    </row>
    <row r="3" customFormat="false" ht="31.5" hidden="false" customHeight="true" outlineLevel="0" collapsed="false">
      <c r="A3" s="3" t="s">
        <v>2</v>
      </c>
      <c r="B3" s="3"/>
    </row>
    <row r="5" customFormat="false" ht="15" hidden="false" customHeight="false" outlineLevel="0" collapsed="false">
      <c r="A5" s="4" t="s">
        <v>3</v>
      </c>
    </row>
    <row r="6" customFormat="false" ht="48" hidden="false" customHeight="true" outlineLevel="0" collapsed="false">
      <c r="A6" s="5" t="s">
        <v>4</v>
      </c>
      <c r="B6" s="5" t="s">
        <v>5</v>
      </c>
    </row>
    <row r="8" customFormat="false" ht="15" hidden="false" customHeight="false" outlineLevel="0" collapsed="false">
      <c r="A8" s="4" t="s">
        <v>6</v>
      </c>
    </row>
    <row r="9" customFormat="false" ht="48" hidden="false" customHeight="true" outlineLevel="0" collapsed="false">
      <c r="A9" s="5" t="s">
        <v>7</v>
      </c>
      <c r="B9" s="5" t="s">
        <v>8</v>
      </c>
    </row>
    <row r="10" customFormat="false" ht="33.75" hidden="false" customHeight="true" outlineLevel="0" collapsed="false">
      <c r="A10" s="5" t="s">
        <v>9</v>
      </c>
      <c r="B10" s="5" t="s">
        <v>10</v>
      </c>
    </row>
    <row r="11" customFormat="false" ht="48" hidden="false" customHeight="true" outlineLevel="0" collapsed="false">
      <c r="A11" s="5" t="s">
        <v>11</v>
      </c>
      <c r="B11" s="5" t="s">
        <v>12</v>
      </c>
    </row>
    <row r="12" customFormat="false" ht="33.75" hidden="false" customHeight="true" outlineLevel="0" collapsed="false">
      <c r="A12" s="5" t="s">
        <v>13</v>
      </c>
      <c r="B12" s="5" t="s">
        <v>14</v>
      </c>
    </row>
    <row r="13" customFormat="false" ht="33.75" hidden="false" customHeight="true" outlineLevel="0" collapsed="false">
      <c r="A13" s="5" t="s">
        <v>15</v>
      </c>
      <c r="B13" s="5" t="s">
        <v>16</v>
      </c>
    </row>
    <row r="15" customFormat="false" ht="15" hidden="false" customHeight="false" outlineLevel="0" collapsed="false">
      <c r="A15" s="4" t="s">
        <v>17</v>
      </c>
    </row>
    <row r="16" customFormat="false" ht="15" hidden="false" customHeight="false" outlineLevel="0" collapsed="false">
      <c r="A16" s="6" t="s">
        <v>18</v>
      </c>
      <c r="B16" s="7" t="s">
        <v>19</v>
      </c>
    </row>
    <row r="17" customFormat="false" ht="15" hidden="false" customHeight="false" outlineLevel="0" collapsed="false">
      <c r="A17" s="8" t="s">
        <v>20</v>
      </c>
      <c r="B17" s="7" t="s">
        <v>21</v>
      </c>
    </row>
    <row r="18" customFormat="false" ht="15" hidden="false" customHeight="false" outlineLevel="0" collapsed="false">
      <c r="A18" s="9" t="s">
        <v>22</v>
      </c>
      <c r="B18" s="7" t="s">
        <v>23</v>
      </c>
    </row>
    <row r="19" customFormat="false" ht="15" hidden="false" customHeight="false" outlineLevel="0" collapsed="false">
      <c r="A19" s="10" t="s">
        <v>24</v>
      </c>
      <c r="B19" s="7" t="s">
        <v>25</v>
      </c>
    </row>
    <row r="20" customFormat="false" ht="15" hidden="false" customHeight="false" outlineLevel="0" collapsed="false">
      <c r="A20" s="11" t="s">
        <v>26</v>
      </c>
      <c r="B20" s="7" t="s">
        <v>27</v>
      </c>
    </row>
    <row r="22" customFormat="false" ht="15" hidden="false" customHeight="false" outlineLevel="0" collapsed="false">
      <c r="A22" s="4" t="s">
        <v>28</v>
      </c>
    </row>
    <row r="23" customFormat="false" ht="15" hidden="false" customHeight="false" outlineLevel="0" collapsed="false">
      <c r="A23" s="5" t="s">
        <v>29</v>
      </c>
      <c r="B23" s="5" t="s">
        <v>30</v>
      </c>
    </row>
    <row r="24" customFormat="false" ht="15" hidden="false" customHeight="false" outlineLevel="0" collapsed="false">
      <c r="A24" s="5" t="s">
        <v>31</v>
      </c>
      <c r="B24" s="5" t="s">
        <v>32</v>
      </c>
    </row>
    <row r="25" customFormat="false" ht="15" hidden="false" customHeight="false" outlineLevel="0" collapsed="false">
      <c r="A25" s="5" t="s">
        <v>33</v>
      </c>
      <c r="B25" s="5" t="s">
        <v>34</v>
      </c>
    </row>
    <row r="26" customFormat="false" ht="15" hidden="false" customHeight="false" outlineLevel="0" collapsed="false">
      <c r="A26" s="5" t="s">
        <v>35</v>
      </c>
      <c r="B26" s="5" t="s">
        <v>36</v>
      </c>
    </row>
    <row r="27" customFormat="false" ht="15" hidden="false" customHeight="false" outlineLevel="0" collapsed="false">
      <c r="A27" s="5" t="s">
        <v>37</v>
      </c>
      <c r="B27" s="5" t="s">
        <v>38</v>
      </c>
    </row>
    <row r="28" customFormat="false" ht="48" hidden="false" customHeight="true" outlineLevel="0" collapsed="false">
      <c r="A28" s="5" t="s">
        <v>39</v>
      </c>
      <c r="B28" s="5" t="s">
        <v>40</v>
      </c>
    </row>
    <row r="30" customFormat="false" ht="15" hidden="false" customHeight="false" outlineLevel="0" collapsed="false">
      <c r="A30" s="4" t="s">
        <v>41</v>
      </c>
    </row>
    <row r="31" customFormat="false" ht="33.75" hidden="false" customHeight="true" outlineLevel="0" collapsed="false">
      <c r="A31" s="5" t="s">
        <v>42</v>
      </c>
      <c r="B31" s="5" t="s">
        <v>43</v>
      </c>
    </row>
    <row r="32" customFormat="false" ht="33.75" hidden="false" customHeight="true" outlineLevel="0" collapsed="false">
      <c r="A32" s="5" t="s">
        <v>44</v>
      </c>
      <c r="B32" s="5" t="s">
        <v>45</v>
      </c>
    </row>
    <row r="33" customFormat="false" ht="33.75" hidden="false" customHeight="true" outlineLevel="0" collapsed="false">
      <c r="A33" s="5" t="s">
        <v>46</v>
      </c>
      <c r="B33" s="5" t="s">
        <v>47</v>
      </c>
    </row>
    <row r="34" customFormat="false" ht="48" hidden="false" customHeight="true" outlineLevel="0" collapsed="false">
      <c r="A34" s="5" t="s">
        <v>48</v>
      </c>
      <c r="B34" s="5" t="s">
        <v>49</v>
      </c>
    </row>
    <row r="35" customFormat="false" ht="33.75" hidden="false" customHeight="true" outlineLevel="0" collapsed="false">
      <c r="A35" s="5" t="s">
        <v>50</v>
      </c>
      <c r="B35" s="5" t="s">
        <v>51</v>
      </c>
    </row>
    <row r="36" customFormat="false" ht="33.75" hidden="false" customHeight="true" outlineLevel="0" collapsed="false">
      <c r="A36" s="5" t="s">
        <v>52</v>
      </c>
      <c r="B36" s="5" t="s">
        <v>53</v>
      </c>
    </row>
    <row r="38" customFormat="false" ht="15" hidden="false" customHeight="false" outlineLevel="0" collapsed="false">
      <c r="A38" s="4" t="s">
        <v>54</v>
      </c>
    </row>
    <row r="39" customFormat="false" ht="33.75" hidden="false" customHeight="true" outlineLevel="0" collapsed="false">
      <c r="A39" s="5" t="s">
        <v>55</v>
      </c>
      <c r="B39" s="5" t="s">
        <v>56</v>
      </c>
    </row>
    <row r="41" customFormat="false" ht="15" hidden="false" customHeight="false" outlineLevel="0" collapsed="false">
      <c r="A41" s="8" t="s">
        <v>57</v>
      </c>
      <c r="B41" s="8" t="str">
        <f aca="false">Checks!C4</f>
        <v>ALL CHECKS PASS</v>
      </c>
    </row>
    <row r="42" customFormat="false" ht="15" hidden="false" customHeight="false" outlineLevel="0" collapsed="false">
      <c r="A42" s="8" t="s">
        <v>58</v>
      </c>
      <c r="B42" s="8" t="str">
        <f aca="false">Checks!C5</f>
        <v>1 to review</v>
      </c>
    </row>
  </sheetData>
  <mergeCells count="1">
    <mergeCell ref="A3:B3"/>
  </mergeCells>
  <conditionalFormatting sqref="B41">
    <cfRule type="expression" priority="2" aboveAverage="0" equalAverage="0" bottom="0" percent="0" rank="0" text="" dxfId="0">
      <formula>$B$41="ALL CHECKS PASS"</formula>
    </cfRule>
    <cfRule type="expression" priority="3" aboveAverage="0" equalAverage="0" bottom="0" percent="0" rank="0" text="" dxfId="1">
      <formula>$B$41&lt;&gt;"ALL CHECKS PASS"</formula>
    </cfRule>
  </conditionalFormatting>
  <conditionalFormatting sqref="B42">
    <cfRule type="expression" priority="4" aboveAverage="0" equalAverage="0" bottom="0" percent="0" rank="0" text="" dxfId="0">
      <formula>$B$42="No planning flags"</formula>
    </cfRule>
    <cfRule type="expression" priority="5" aboveAverage="0" equalAverage="0" bottom="0" percent="0" rank="0" text="" dxfId="2">
      <formula>$B$42&lt;&gt;"No planning flags"</formula>
    </cfRule>
  </conditionalFormatting>
  <printOptions headings="false" gridLines="false" gridLinesSet="true" horizontalCentered="true" verticalCentered="false"/>
  <pageMargins left="0.5" right="0.5" top="0.6" bottom="0.8" header="0.511811023622047" footer="0.3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8"/>
    <col collapsed="false" customWidth="true" hidden="false" outlineLevel="0" max="4" min="3" style="0" width="16"/>
    <col collapsed="false" customWidth="true" hidden="false" outlineLevel="0" max="5" min="5" style="0" width="14"/>
    <col collapsed="false" customWidth="true" hidden="false" outlineLevel="0" max="6" min="6" style="0" width="16"/>
  </cols>
  <sheetData>
    <row r="1" customFormat="false" ht="19.7" hidden="false" customHeight="false" outlineLevel="0" collapsed="false">
      <c r="A1" s="1" t="s">
        <v>59</v>
      </c>
    </row>
    <row r="2" customFormat="false" ht="15" hidden="false" customHeight="false" outlineLevel="0" collapsed="false">
      <c r="A2" s="12" t="s">
        <v>60</v>
      </c>
    </row>
    <row r="3" customFormat="false" ht="15" hidden="false" customHeight="false" outlineLevel="0" collapsed="false">
      <c r="A3" s="12" t="s">
        <v>61</v>
      </c>
    </row>
    <row r="4" customFormat="false" ht="15" hidden="false" customHeight="false" outlineLevel="0" collapsed="false">
      <c r="A4" s="4" t="s">
        <v>62</v>
      </c>
    </row>
    <row r="5" customFormat="false" ht="15" hidden="false" customHeight="false" outlineLevel="0" collapsed="false">
      <c r="A5" s="8" t="s">
        <v>63</v>
      </c>
      <c r="B5" s="6" t="s">
        <v>64</v>
      </c>
      <c r="C5" s="6"/>
      <c r="D5" s="6"/>
    </row>
    <row r="6" customFormat="false" ht="15" hidden="false" customHeight="false" outlineLevel="0" collapsed="false">
      <c r="A6" s="8" t="s">
        <v>65</v>
      </c>
      <c r="B6" s="13" t="s">
        <v>66</v>
      </c>
    </row>
    <row r="7" customFormat="false" ht="15" hidden="false" customHeight="false" outlineLevel="0" collapsed="false">
      <c r="A7" s="8" t="s">
        <v>67</v>
      </c>
      <c r="B7" s="14" t="n">
        <v>30</v>
      </c>
    </row>
    <row r="9" customFormat="false" ht="15" hidden="false" customHeight="false" outlineLevel="0" collapsed="false">
      <c r="A9" s="4" t="s">
        <v>68</v>
      </c>
    </row>
    <row r="10" customFormat="false" ht="31.5" hidden="false" customHeight="true" outlineLevel="0" collapsed="false">
      <c r="A10" s="15" t="s">
        <v>69</v>
      </c>
      <c r="B10" s="15" t="s">
        <v>70</v>
      </c>
      <c r="C10" s="15" t="s">
        <v>71</v>
      </c>
      <c r="D10" s="15" t="s">
        <v>72</v>
      </c>
    </row>
    <row r="11" customFormat="false" ht="15" hidden="false" customHeight="false" outlineLevel="0" collapsed="false">
      <c r="A11" s="6" t="s">
        <v>73</v>
      </c>
      <c r="B11" s="14" t="n">
        <v>80</v>
      </c>
      <c r="C11" s="16" t="n">
        <v>0.12</v>
      </c>
      <c r="D11" s="13" t="s">
        <v>74</v>
      </c>
    </row>
    <row r="12" customFormat="false" ht="15" hidden="false" customHeight="false" outlineLevel="0" collapsed="false">
      <c r="A12" s="6" t="s">
        <v>75</v>
      </c>
      <c r="B12" s="14" t="n">
        <v>60</v>
      </c>
      <c r="C12" s="16" t="n">
        <v>0.2</v>
      </c>
      <c r="D12" s="13" t="s">
        <v>74</v>
      </c>
    </row>
    <row r="13" customFormat="false" ht="15" hidden="false" customHeight="false" outlineLevel="0" collapsed="false">
      <c r="A13" s="6" t="s">
        <v>76</v>
      </c>
      <c r="B13" s="14" t="n">
        <v>90</v>
      </c>
      <c r="C13" s="16" t="n">
        <v>0.25</v>
      </c>
      <c r="D13" s="13" t="s">
        <v>74</v>
      </c>
    </row>
    <row r="14" customFormat="false" ht="15" hidden="false" customHeight="false" outlineLevel="0" collapsed="false">
      <c r="A14" s="6" t="s">
        <v>77</v>
      </c>
      <c r="B14" s="14" t="n">
        <v>100</v>
      </c>
      <c r="C14" s="16" t="n">
        <v>0.15</v>
      </c>
      <c r="D14" s="13" t="s">
        <v>74</v>
      </c>
    </row>
    <row r="15" customFormat="false" ht="15" hidden="false" customHeight="false" outlineLevel="0" collapsed="false">
      <c r="A15" s="6" t="s">
        <v>78</v>
      </c>
      <c r="B15" s="14" t="n">
        <v>50</v>
      </c>
      <c r="C15" s="16" t="n">
        <v>0.1</v>
      </c>
      <c r="D15" s="13" t="s">
        <v>74</v>
      </c>
    </row>
    <row r="16" customFormat="false" ht="15" hidden="false" customHeight="false" outlineLevel="0" collapsed="false">
      <c r="A16" s="6" t="s">
        <v>79</v>
      </c>
      <c r="B16" s="14" t="n">
        <v>20</v>
      </c>
      <c r="C16" s="16" t="n">
        <v>0.08</v>
      </c>
      <c r="D16" s="13" t="s">
        <v>74</v>
      </c>
    </row>
    <row r="17" customFormat="false" ht="15" hidden="false" customHeight="false" outlineLevel="0" collapsed="false">
      <c r="A17" s="17" t="s">
        <v>80</v>
      </c>
      <c r="B17" s="18" t="n">
        <f aca="false">SUM(B11:B16)</f>
        <v>400</v>
      </c>
      <c r="C17" s="19" t="n">
        <f aca="false">IF(B17&gt;0,SUMPRODUCT(B11:B16,C11:C16)/B17,0)</f>
        <v>0.16425</v>
      </c>
      <c r="D17" s="17"/>
    </row>
    <row r="19" customFormat="false" ht="15" hidden="false" customHeight="false" outlineLevel="0" collapsed="false">
      <c r="A19" s="4" t="s">
        <v>81</v>
      </c>
    </row>
    <row r="20" customFormat="false" ht="15" hidden="false" customHeight="false" outlineLevel="0" collapsed="false">
      <c r="A20" s="15" t="s">
        <v>69</v>
      </c>
      <c r="B20" s="15" t="s">
        <v>82</v>
      </c>
      <c r="C20" s="15" t="s">
        <v>83</v>
      </c>
      <c r="D20" s="15" t="s">
        <v>84</v>
      </c>
      <c r="E20" s="15" t="s">
        <v>85</v>
      </c>
      <c r="F20" s="15" t="s">
        <v>86</v>
      </c>
    </row>
    <row r="21" customFormat="false" ht="15" hidden="false" customHeight="false" outlineLevel="0" collapsed="false">
      <c r="A21" s="8" t="str">
        <f aca="false">$A11</f>
        <v>Engineering</v>
      </c>
      <c r="B21" s="14" t="n">
        <v>4</v>
      </c>
      <c r="C21" s="14" t="n">
        <v>4</v>
      </c>
      <c r="D21" s="14" t="n">
        <v>3</v>
      </c>
      <c r="E21" s="14" t="n">
        <v>2</v>
      </c>
      <c r="F21" s="20" t="n">
        <f aca="false">SUM(B21:E21)</f>
        <v>13</v>
      </c>
    </row>
    <row r="22" customFormat="false" ht="15" hidden="false" customHeight="false" outlineLevel="0" collapsed="false">
      <c r="A22" s="8" t="str">
        <f aca="false">$A12</f>
        <v>Sales</v>
      </c>
      <c r="B22" s="14" t="n">
        <v>3</v>
      </c>
      <c r="C22" s="14" t="n">
        <v>3</v>
      </c>
      <c r="D22" s="14" t="n">
        <v>2</v>
      </c>
      <c r="E22" s="14" t="n">
        <v>2</v>
      </c>
      <c r="F22" s="20" t="n">
        <f aca="false">SUM(B22:E22)</f>
        <v>10</v>
      </c>
    </row>
    <row r="23" customFormat="false" ht="15" hidden="false" customHeight="false" outlineLevel="0" collapsed="false">
      <c r="A23" s="8" t="str">
        <f aca="false">$A13</f>
        <v>Customer support</v>
      </c>
      <c r="B23" s="14" t="n">
        <v>2</v>
      </c>
      <c r="C23" s="14" t="n">
        <v>2</v>
      </c>
      <c r="D23" s="14" t="n">
        <v>2</v>
      </c>
      <c r="E23" s="14" t="n">
        <v>2</v>
      </c>
      <c r="F23" s="20" t="n">
        <f aca="false">SUM(B23:E23)</f>
        <v>8</v>
      </c>
    </row>
    <row r="24" customFormat="false" ht="15" hidden="false" customHeight="false" outlineLevel="0" collapsed="false">
      <c r="A24" s="8" t="str">
        <f aca="false">$A14</f>
        <v>Operations</v>
      </c>
      <c r="B24" s="14" t="n">
        <v>2</v>
      </c>
      <c r="C24" s="14" t="n">
        <v>2</v>
      </c>
      <c r="D24" s="14" t="n">
        <v>1</v>
      </c>
      <c r="E24" s="14" t="n">
        <v>1</v>
      </c>
      <c r="F24" s="20" t="n">
        <f aca="false">SUM(B24:E24)</f>
        <v>6</v>
      </c>
    </row>
    <row r="25" customFormat="false" ht="15" hidden="false" customHeight="false" outlineLevel="0" collapsed="false">
      <c r="A25" s="8" t="str">
        <f aca="false">$A15</f>
        <v>Corporate functions</v>
      </c>
      <c r="B25" s="14" t="n">
        <v>1</v>
      </c>
      <c r="C25" s="14" t="n">
        <v>1</v>
      </c>
      <c r="D25" s="14" t="n">
        <v>1</v>
      </c>
      <c r="E25" s="14" t="n">
        <v>0</v>
      </c>
      <c r="F25" s="20" t="n">
        <f aca="false">SUM(B25:E25)</f>
        <v>3</v>
      </c>
    </row>
    <row r="26" customFormat="false" ht="15" hidden="false" customHeight="false" outlineLevel="0" collapsed="false">
      <c r="A26" s="8" t="str">
        <f aca="false">$A16</f>
        <v>Leadership</v>
      </c>
      <c r="B26" s="14" t="n">
        <v>1</v>
      </c>
      <c r="C26" s="14" t="n">
        <v>0</v>
      </c>
      <c r="D26" s="14" t="n">
        <v>1</v>
      </c>
      <c r="E26" s="14" t="n">
        <v>0</v>
      </c>
      <c r="F26" s="20" t="n">
        <f aca="false">SUM(B26:E26)</f>
        <v>2</v>
      </c>
    </row>
    <row r="27" customFormat="false" ht="15" hidden="false" customHeight="false" outlineLevel="0" collapsed="false">
      <c r="A27" s="17" t="s">
        <v>87</v>
      </c>
      <c r="B27" s="18" t="n">
        <f aca="false">SUM(B21:B26)</f>
        <v>13</v>
      </c>
      <c r="C27" s="18" t="n">
        <f aca="false">SUM(C21:C26)</f>
        <v>12</v>
      </c>
      <c r="D27" s="18" t="n">
        <f aca="false">SUM(D21:D26)</f>
        <v>10</v>
      </c>
      <c r="E27" s="18" t="n">
        <f aca="false">SUM(E21:E26)</f>
        <v>7</v>
      </c>
      <c r="F27" s="18" t="n">
        <f aca="false">SUM(F21:F26)</f>
        <v>42</v>
      </c>
    </row>
    <row r="29" customFormat="false" ht="15" hidden="false" customHeight="false" outlineLevel="0" collapsed="false">
      <c r="A29" s="4" t="s">
        <v>88</v>
      </c>
    </row>
    <row r="30" customFormat="false" ht="15" hidden="false" customHeight="false" outlineLevel="0" collapsed="false">
      <c r="A30" s="15" t="s">
        <v>69</v>
      </c>
      <c r="B30" s="15" t="s">
        <v>82</v>
      </c>
      <c r="C30" s="15" t="s">
        <v>83</v>
      </c>
      <c r="D30" s="15" t="s">
        <v>84</v>
      </c>
      <c r="E30" s="15" t="s">
        <v>85</v>
      </c>
      <c r="F30" s="15" t="s">
        <v>86</v>
      </c>
    </row>
    <row r="31" customFormat="false" ht="15" hidden="false" customHeight="false" outlineLevel="0" collapsed="false">
      <c r="A31" s="8" t="str">
        <f aca="false">$A11</f>
        <v>Engineering</v>
      </c>
      <c r="B31" s="21" t="n">
        <f aca="false">$B11*$C11/4</f>
        <v>2.4</v>
      </c>
      <c r="C31" s="21" t="n">
        <f aca="false">B61*$C11/4</f>
        <v>2.52</v>
      </c>
      <c r="D31" s="21" t="n">
        <f aca="false">C61*$C11/4</f>
        <v>2.64</v>
      </c>
      <c r="E31" s="21" t="n">
        <f aca="false">D61*$C11/4</f>
        <v>2.73</v>
      </c>
      <c r="F31" s="21" t="n">
        <f aca="false">SUM(B31:E31)</f>
        <v>10.29</v>
      </c>
    </row>
    <row r="32" customFormat="false" ht="15" hidden="false" customHeight="false" outlineLevel="0" collapsed="false">
      <c r="A32" s="8" t="str">
        <f aca="false">$A12</f>
        <v>Sales</v>
      </c>
      <c r="B32" s="21" t="n">
        <f aca="false">$B12*$C12/4</f>
        <v>3</v>
      </c>
      <c r="C32" s="21" t="n">
        <f aca="false">B62*$C12/4</f>
        <v>3.15</v>
      </c>
      <c r="D32" s="21" t="n">
        <f aca="false">C62*$C12/4</f>
        <v>3.3</v>
      </c>
      <c r="E32" s="21" t="n">
        <f aca="false">D62*$C12/4</f>
        <v>3.4</v>
      </c>
      <c r="F32" s="21" t="n">
        <f aca="false">SUM(B32:E32)</f>
        <v>12.85</v>
      </c>
    </row>
    <row r="33" customFormat="false" ht="15" hidden="false" customHeight="false" outlineLevel="0" collapsed="false">
      <c r="A33" s="8" t="str">
        <f aca="false">$A13</f>
        <v>Customer support</v>
      </c>
      <c r="B33" s="21" t="n">
        <f aca="false">$B13*$C13/4</f>
        <v>5.625</v>
      </c>
      <c r="C33" s="21" t="n">
        <f aca="false">B63*$C13/4</f>
        <v>5.75</v>
      </c>
      <c r="D33" s="21" t="n">
        <f aca="false">C63*$C13/4</f>
        <v>5.875</v>
      </c>
      <c r="E33" s="21" t="n">
        <f aca="false">D63*$C13/4</f>
        <v>6</v>
      </c>
      <c r="F33" s="21" t="n">
        <f aca="false">SUM(B33:E33)</f>
        <v>23.25</v>
      </c>
    </row>
    <row r="34" customFormat="false" ht="15" hidden="false" customHeight="false" outlineLevel="0" collapsed="false">
      <c r="A34" s="8" t="str">
        <f aca="false">$A14</f>
        <v>Operations</v>
      </c>
      <c r="B34" s="21" t="n">
        <f aca="false">$B14*$C14/4</f>
        <v>3.75</v>
      </c>
      <c r="C34" s="21" t="n">
        <f aca="false">B64*$C14/4</f>
        <v>3.825</v>
      </c>
      <c r="D34" s="21" t="n">
        <f aca="false">C64*$C14/4</f>
        <v>3.9</v>
      </c>
      <c r="E34" s="21" t="n">
        <f aca="false">D64*$C14/4</f>
        <v>3.9375</v>
      </c>
      <c r="F34" s="21" t="n">
        <f aca="false">SUM(B34:E34)</f>
        <v>15.4125</v>
      </c>
    </row>
    <row r="35" customFormat="false" ht="15" hidden="false" customHeight="false" outlineLevel="0" collapsed="false">
      <c r="A35" s="8" t="str">
        <f aca="false">$A15</f>
        <v>Corporate functions</v>
      </c>
      <c r="B35" s="21" t="n">
        <f aca="false">$B15*$C15/4</f>
        <v>1.25</v>
      </c>
      <c r="C35" s="21" t="n">
        <f aca="false">B65*$C15/4</f>
        <v>1.275</v>
      </c>
      <c r="D35" s="21" t="n">
        <f aca="false">C65*$C15/4</f>
        <v>1.3</v>
      </c>
      <c r="E35" s="21" t="n">
        <f aca="false">D65*$C15/4</f>
        <v>1.325</v>
      </c>
      <c r="F35" s="21" t="n">
        <f aca="false">SUM(B35:E35)</f>
        <v>5.15</v>
      </c>
    </row>
    <row r="36" customFormat="false" ht="15" hidden="false" customHeight="false" outlineLevel="0" collapsed="false">
      <c r="A36" s="8" t="str">
        <f aca="false">$A16</f>
        <v>Leadership</v>
      </c>
      <c r="B36" s="21" t="n">
        <f aca="false">$B16*$C16/4</f>
        <v>0.4</v>
      </c>
      <c r="C36" s="21" t="n">
        <f aca="false">B66*$C16/4</f>
        <v>0.42</v>
      </c>
      <c r="D36" s="21" t="n">
        <f aca="false">C66*$C16/4</f>
        <v>0.42</v>
      </c>
      <c r="E36" s="21" t="n">
        <f aca="false">D66*$C16/4</f>
        <v>0.44</v>
      </c>
      <c r="F36" s="21" t="n">
        <f aca="false">SUM(B36:E36)</f>
        <v>1.68</v>
      </c>
    </row>
    <row r="37" customFormat="false" ht="15" hidden="false" customHeight="false" outlineLevel="0" collapsed="false">
      <c r="A37" s="17" t="s">
        <v>87</v>
      </c>
      <c r="B37" s="22" t="n">
        <f aca="false">SUM(B31:B36)</f>
        <v>16.425</v>
      </c>
      <c r="C37" s="22" t="n">
        <f aca="false">SUM(C31:C36)</f>
        <v>16.94</v>
      </c>
      <c r="D37" s="22" t="n">
        <f aca="false">SUM(D31:D36)</f>
        <v>17.435</v>
      </c>
      <c r="E37" s="22" t="n">
        <f aca="false">SUM(E31:E36)</f>
        <v>17.8325</v>
      </c>
      <c r="F37" s="22" t="n">
        <f aca="false">SUM(F31:F36)</f>
        <v>68.6325</v>
      </c>
    </row>
    <row r="39" customFormat="false" ht="15" hidden="false" customHeight="false" outlineLevel="0" collapsed="false">
      <c r="A39" s="4" t="s">
        <v>89</v>
      </c>
    </row>
    <row r="40" customFormat="false" ht="15" hidden="false" customHeight="false" outlineLevel="0" collapsed="false">
      <c r="A40" s="15" t="s">
        <v>69</v>
      </c>
      <c r="B40" s="15" t="s">
        <v>82</v>
      </c>
      <c r="C40" s="15" t="s">
        <v>83</v>
      </c>
      <c r="D40" s="15" t="s">
        <v>84</v>
      </c>
      <c r="E40" s="15" t="s">
        <v>85</v>
      </c>
      <c r="F40" s="15" t="s">
        <v>86</v>
      </c>
    </row>
    <row r="41" customFormat="false" ht="15" hidden="false" customHeight="false" outlineLevel="0" collapsed="false">
      <c r="A41" s="8" t="str">
        <f aca="false">$A11</f>
        <v>Engineering</v>
      </c>
      <c r="B41" s="21" t="n">
        <f aca="false">IF($D11="Yes",B31,0)</f>
        <v>2.4</v>
      </c>
      <c r="C41" s="21" t="n">
        <f aca="false">IF($D11="Yes",C31,0)</f>
        <v>2.52</v>
      </c>
      <c r="D41" s="21" t="n">
        <f aca="false">IF($D11="Yes",D31,0)</f>
        <v>2.64</v>
      </c>
      <c r="E41" s="21" t="n">
        <f aca="false">IF($D11="Yes",E31,0)</f>
        <v>2.73</v>
      </c>
      <c r="F41" s="21" t="n">
        <f aca="false">SUM(B41:E41)</f>
        <v>10.29</v>
      </c>
    </row>
    <row r="42" customFormat="false" ht="15" hidden="false" customHeight="false" outlineLevel="0" collapsed="false">
      <c r="A42" s="8" t="str">
        <f aca="false">$A12</f>
        <v>Sales</v>
      </c>
      <c r="B42" s="21" t="n">
        <f aca="false">IF($D12="Yes",B32,0)</f>
        <v>3</v>
      </c>
      <c r="C42" s="21" t="n">
        <f aca="false">IF($D12="Yes",C32,0)</f>
        <v>3.15</v>
      </c>
      <c r="D42" s="21" t="n">
        <f aca="false">IF($D12="Yes",D32,0)</f>
        <v>3.3</v>
      </c>
      <c r="E42" s="21" t="n">
        <f aca="false">IF($D12="Yes",E32,0)</f>
        <v>3.4</v>
      </c>
      <c r="F42" s="21" t="n">
        <f aca="false">SUM(B42:E42)</f>
        <v>12.85</v>
      </c>
    </row>
    <row r="43" customFormat="false" ht="15" hidden="false" customHeight="false" outlineLevel="0" collapsed="false">
      <c r="A43" s="8" t="str">
        <f aca="false">$A13</f>
        <v>Customer support</v>
      </c>
      <c r="B43" s="21" t="n">
        <f aca="false">IF($D13="Yes",B33,0)</f>
        <v>5.625</v>
      </c>
      <c r="C43" s="21" t="n">
        <f aca="false">IF($D13="Yes",C33,0)</f>
        <v>5.75</v>
      </c>
      <c r="D43" s="21" t="n">
        <f aca="false">IF($D13="Yes",D33,0)</f>
        <v>5.875</v>
      </c>
      <c r="E43" s="21" t="n">
        <f aca="false">IF($D13="Yes",E33,0)</f>
        <v>6</v>
      </c>
      <c r="F43" s="21" t="n">
        <f aca="false">SUM(B43:E43)</f>
        <v>23.25</v>
      </c>
    </row>
    <row r="44" customFormat="false" ht="15" hidden="false" customHeight="false" outlineLevel="0" collapsed="false">
      <c r="A44" s="8" t="str">
        <f aca="false">$A14</f>
        <v>Operations</v>
      </c>
      <c r="B44" s="21" t="n">
        <f aca="false">IF($D14="Yes",B34,0)</f>
        <v>3.75</v>
      </c>
      <c r="C44" s="21" t="n">
        <f aca="false">IF($D14="Yes",C34,0)</f>
        <v>3.825</v>
      </c>
      <c r="D44" s="21" t="n">
        <f aca="false">IF($D14="Yes",D34,0)</f>
        <v>3.9</v>
      </c>
      <c r="E44" s="21" t="n">
        <f aca="false">IF($D14="Yes",E34,0)</f>
        <v>3.9375</v>
      </c>
      <c r="F44" s="21" t="n">
        <f aca="false">SUM(B44:E44)</f>
        <v>15.4125</v>
      </c>
    </row>
    <row r="45" customFormat="false" ht="15" hidden="false" customHeight="false" outlineLevel="0" collapsed="false">
      <c r="A45" s="8" t="str">
        <f aca="false">$A15</f>
        <v>Corporate functions</v>
      </c>
      <c r="B45" s="21" t="n">
        <f aca="false">IF($D15="Yes",B35,0)</f>
        <v>1.25</v>
      </c>
      <c r="C45" s="21" t="n">
        <f aca="false">IF($D15="Yes",C35,0)</f>
        <v>1.275</v>
      </c>
      <c r="D45" s="21" t="n">
        <f aca="false">IF($D15="Yes",D35,0)</f>
        <v>1.3</v>
      </c>
      <c r="E45" s="21" t="n">
        <f aca="false">IF($D15="Yes",E35,0)</f>
        <v>1.325</v>
      </c>
      <c r="F45" s="21" t="n">
        <f aca="false">SUM(B45:E45)</f>
        <v>5.15</v>
      </c>
    </row>
    <row r="46" customFormat="false" ht="15" hidden="false" customHeight="false" outlineLevel="0" collapsed="false">
      <c r="A46" s="8" t="str">
        <f aca="false">$A16</f>
        <v>Leadership</v>
      </c>
      <c r="B46" s="21" t="n">
        <f aca="false">IF($D16="Yes",B36,0)</f>
        <v>0.4</v>
      </c>
      <c r="C46" s="21" t="n">
        <f aca="false">IF($D16="Yes",C36,0)</f>
        <v>0.42</v>
      </c>
      <c r="D46" s="21" t="n">
        <f aca="false">IF($D16="Yes",D36,0)</f>
        <v>0.42</v>
      </c>
      <c r="E46" s="21" t="n">
        <f aca="false">IF($D16="Yes",E36,0)</f>
        <v>0.44</v>
      </c>
      <c r="F46" s="21" t="n">
        <f aca="false">SUM(B46:E46)</f>
        <v>1.68</v>
      </c>
    </row>
    <row r="47" customFormat="false" ht="15" hidden="false" customHeight="false" outlineLevel="0" collapsed="false">
      <c r="A47" s="17" t="s">
        <v>87</v>
      </c>
      <c r="B47" s="22" t="n">
        <f aca="false">SUM(B41:B46)</f>
        <v>16.425</v>
      </c>
      <c r="C47" s="22" t="n">
        <f aca="false">SUM(C41:C46)</f>
        <v>16.94</v>
      </c>
      <c r="D47" s="22" t="n">
        <f aca="false">SUM(D41:D46)</f>
        <v>17.435</v>
      </c>
      <c r="E47" s="22" t="n">
        <f aca="false">SUM(E41:E46)</f>
        <v>17.8325</v>
      </c>
      <c r="F47" s="22" t="n">
        <f aca="false">SUM(F41:F46)</f>
        <v>68.6325</v>
      </c>
    </row>
    <row r="49" customFormat="false" ht="15" hidden="false" customHeight="false" outlineLevel="0" collapsed="false">
      <c r="A49" s="4" t="s">
        <v>90</v>
      </c>
    </row>
    <row r="50" customFormat="false" ht="15" hidden="false" customHeight="false" outlineLevel="0" collapsed="false">
      <c r="A50" s="15" t="s">
        <v>69</v>
      </c>
      <c r="B50" s="15" t="s">
        <v>82</v>
      </c>
      <c r="C50" s="15" t="s">
        <v>83</v>
      </c>
      <c r="D50" s="15" t="s">
        <v>84</v>
      </c>
      <c r="E50" s="15" t="s">
        <v>85</v>
      </c>
      <c r="F50" s="15" t="s">
        <v>86</v>
      </c>
    </row>
    <row r="51" customFormat="false" ht="15" hidden="false" customHeight="false" outlineLevel="0" collapsed="false">
      <c r="A51" s="8" t="str">
        <f aca="false">$A11</f>
        <v>Engineering</v>
      </c>
      <c r="B51" s="21" t="n">
        <f aca="false">B21+B41</f>
        <v>6.4</v>
      </c>
      <c r="C51" s="21" t="n">
        <f aca="false">C21+C41</f>
        <v>6.52</v>
      </c>
      <c r="D51" s="21" t="n">
        <f aca="false">D21+D41</f>
        <v>5.64</v>
      </c>
      <c r="E51" s="21" t="n">
        <f aca="false">E21+E41</f>
        <v>4.73</v>
      </c>
      <c r="F51" s="21" t="n">
        <f aca="false">SUM(B51:E51)</f>
        <v>23.29</v>
      </c>
    </row>
    <row r="52" customFormat="false" ht="15" hidden="false" customHeight="false" outlineLevel="0" collapsed="false">
      <c r="A52" s="8" t="str">
        <f aca="false">$A12</f>
        <v>Sales</v>
      </c>
      <c r="B52" s="21" t="n">
        <f aca="false">B22+B42</f>
        <v>6</v>
      </c>
      <c r="C52" s="21" t="n">
        <f aca="false">C22+C42</f>
        <v>6.15</v>
      </c>
      <c r="D52" s="21" t="n">
        <f aca="false">D22+D42</f>
        <v>5.3</v>
      </c>
      <c r="E52" s="21" t="n">
        <f aca="false">E22+E42</f>
        <v>5.4</v>
      </c>
      <c r="F52" s="21" t="n">
        <f aca="false">SUM(B52:E52)</f>
        <v>22.85</v>
      </c>
    </row>
    <row r="53" customFormat="false" ht="15" hidden="false" customHeight="false" outlineLevel="0" collapsed="false">
      <c r="A53" s="8" t="str">
        <f aca="false">$A13</f>
        <v>Customer support</v>
      </c>
      <c r="B53" s="21" t="n">
        <f aca="false">B23+B43</f>
        <v>7.625</v>
      </c>
      <c r="C53" s="21" t="n">
        <f aca="false">C23+C43</f>
        <v>7.75</v>
      </c>
      <c r="D53" s="21" t="n">
        <f aca="false">D23+D43</f>
        <v>7.875</v>
      </c>
      <c r="E53" s="21" t="n">
        <f aca="false">E23+E43</f>
        <v>8</v>
      </c>
      <c r="F53" s="21" t="n">
        <f aca="false">SUM(B53:E53)</f>
        <v>31.25</v>
      </c>
    </row>
    <row r="54" customFormat="false" ht="15" hidden="false" customHeight="false" outlineLevel="0" collapsed="false">
      <c r="A54" s="8" t="str">
        <f aca="false">$A14</f>
        <v>Operations</v>
      </c>
      <c r="B54" s="21" t="n">
        <f aca="false">B24+B44</f>
        <v>5.75</v>
      </c>
      <c r="C54" s="21" t="n">
        <f aca="false">C24+C44</f>
        <v>5.825</v>
      </c>
      <c r="D54" s="21" t="n">
        <f aca="false">D24+D44</f>
        <v>4.9</v>
      </c>
      <c r="E54" s="21" t="n">
        <f aca="false">E24+E44</f>
        <v>4.9375</v>
      </c>
      <c r="F54" s="21" t="n">
        <f aca="false">SUM(B54:E54)</f>
        <v>21.4125</v>
      </c>
    </row>
    <row r="55" customFormat="false" ht="15" hidden="false" customHeight="false" outlineLevel="0" collapsed="false">
      <c r="A55" s="8" t="str">
        <f aca="false">$A15</f>
        <v>Corporate functions</v>
      </c>
      <c r="B55" s="21" t="n">
        <f aca="false">B25+B45</f>
        <v>2.25</v>
      </c>
      <c r="C55" s="21" t="n">
        <f aca="false">C25+C45</f>
        <v>2.275</v>
      </c>
      <c r="D55" s="21" t="n">
        <f aca="false">D25+D45</f>
        <v>2.3</v>
      </c>
      <c r="E55" s="21" t="n">
        <f aca="false">E25+E45</f>
        <v>1.325</v>
      </c>
      <c r="F55" s="21" t="n">
        <f aca="false">SUM(B55:E55)</f>
        <v>8.15</v>
      </c>
    </row>
    <row r="56" customFormat="false" ht="15" hidden="false" customHeight="false" outlineLevel="0" collapsed="false">
      <c r="A56" s="8" t="str">
        <f aca="false">$A16</f>
        <v>Leadership</v>
      </c>
      <c r="B56" s="21" t="n">
        <f aca="false">B26+B46</f>
        <v>1.4</v>
      </c>
      <c r="C56" s="21" t="n">
        <f aca="false">C26+C46</f>
        <v>0.42</v>
      </c>
      <c r="D56" s="21" t="n">
        <f aca="false">D26+D46</f>
        <v>1.42</v>
      </c>
      <c r="E56" s="21" t="n">
        <f aca="false">E26+E46</f>
        <v>0.44</v>
      </c>
      <c r="F56" s="21" t="n">
        <f aca="false">SUM(B56:E56)</f>
        <v>3.68</v>
      </c>
    </row>
    <row r="57" customFormat="false" ht="15" hidden="false" customHeight="false" outlineLevel="0" collapsed="false">
      <c r="A57" s="17" t="s">
        <v>87</v>
      </c>
      <c r="B57" s="22" t="n">
        <f aca="false">SUM(B51:B56)</f>
        <v>29.425</v>
      </c>
      <c r="C57" s="22" t="n">
        <f aca="false">SUM(C51:C56)</f>
        <v>28.94</v>
      </c>
      <c r="D57" s="22" t="n">
        <f aca="false">SUM(D51:D56)</f>
        <v>27.435</v>
      </c>
      <c r="E57" s="22" t="n">
        <f aca="false">SUM(E51:E56)</f>
        <v>24.8325</v>
      </c>
      <c r="F57" s="22" t="n">
        <f aca="false">SUM(F51:F56)</f>
        <v>110.6325</v>
      </c>
    </row>
    <row r="59" customFormat="false" ht="15" hidden="false" customHeight="false" outlineLevel="0" collapsed="false">
      <c r="A59" s="4" t="s">
        <v>91</v>
      </c>
    </row>
    <row r="60" customFormat="false" ht="15" hidden="false" customHeight="false" outlineLevel="0" collapsed="false">
      <c r="A60" s="15" t="s">
        <v>69</v>
      </c>
      <c r="B60" s="15" t="s">
        <v>82</v>
      </c>
      <c r="C60" s="15" t="s">
        <v>83</v>
      </c>
      <c r="D60" s="15" t="s">
        <v>84</v>
      </c>
      <c r="E60" s="15" t="s">
        <v>85</v>
      </c>
      <c r="F60" s="15" t="s">
        <v>92</v>
      </c>
    </row>
    <row r="61" customFormat="false" ht="15" hidden="false" customHeight="false" outlineLevel="0" collapsed="false">
      <c r="A61" s="8" t="str">
        <f aca="false">$A11</f>
        <v>Engineering</v>
      </c>
      <c r="B61" s="21" t="n">
        <f aca="false">$B11+B21+B41-B31</f>
        <v>84</v>
      </c>
      <c r="C61" s="21" t="n">
        <f aca="false">B61+C21+C41-C31</f>
        <v>88</v>
      </c>
      <c r="D61" s="21" t="n">
        <f aca="false">C61+D21+D41-D31</f>
        <v>91</v>
      </c>
      <c r="E61" s="21" t="n">
        <f aca="false">D61+E21+E41-E31</f>
        <v>93</v>
      </c>
      <c r="F61" s="21" t="n">
        <f aca="false">E61-$B11</f>
        <v>13</v>
      </c>
    </row>
    <row r="62" customFormat="false" ht="15" hidden="false" customHeight="false" outlineLevel="0" collapsed="false">
      <c r="A62" s="8" t="str">
        <f aca="false">$A12</f>
        <v>Sales</v>
      </c>
      <c r="B62" s="21" t="n">
        <f aca="false">$B12+B22+B42-B32</f>
        <v>63</v>
      </c>
      <c r="C62" s="21" t="n">
        <f aca="false">B62+C22+C42-C32</f>
        <v>66</v>
      </c>
      <c r="D62" s="21" t="n">
        <f aca="false">C62+D22+D42-D32</f>
        <v>68</v>
      </c>
      <c r="E62" s="21" t="n">
        <f aca="false">D62+E22+E42-E32</f>
        <v>70</v>
      </c>
      <c r="F62" s="21" t="n">
        <f aca="false">E62-$B12</f>
        <v>10</v>
      </c>
    </row>
    <row r="63" customFormat="false" ht="15" hidden="false" customHeight="false" outlineLevel="0" collapsed="false">
      <c r="A63" s="8" t="str">
        <f aca="false">$A13</f>
        <v>Customer support</v>
      </c>
      <c r="B63" s="21" t="n">
        <f aca="false">$B13+B23+B43-B33</f>
        <v>92</v>
      </c>
      <c r="C63" s="21" t="n">
        <f aca="false">B63+C23+C43-C33</f>
        <v>94</v>
      </c>
      <c r="D63" s="21" t="n">
        <f aca="false">C63+D23+D43-D33</f>
        <v>96</v>
      </c>
      <c r="E63" s="21" t="n">
        <f aca="false">D63+E23+E43-E33</f>
        <v>98</v>
      </c>
      <c r="F63" s="21" t="n">
        <f aca="false">E63-$B13</f>
        <v>8</v>
      </c>
    </row>
    <row r="64" customFormat="false" ht="15" hidden="false" customHeight="false" outlineLevel="0" collapsed="false">
      <c r="A64" s="8" t="str">
        <f aca="false">$A14</f>
        <v>Operations</v>
      </c>
      <c r="B64" s="21" t="n">
        <f aca="false">$B14+B24+B44-B34</f>
        <v>102</v>
      </c>
      <c r="C64" s="21" t="n">
        <f aca="false">B64+C24+C44-C34</f>
        <v>104</v>
      </c>
      <c r="D64" s="21" t="n">
        <f aca="false">C64+D24+D44-D34</f>
        <v>105</v>
      </c>
      <c r="E64" s="21" t="n">
        <f aca="false">D64+E24+E44-E34</f>
        <v>106</v>
      </c>
      <c r="F64" s="21" t="n">
        <f aca="false">E64-$B14</f>
        <v>6</v>
      </c>
    </row>
    <row r="65" customFormat="false" ht="15" hidden="false" customHeight="false" outlineLevel="0" collapsed="false">
      <c r="A65" s="8" t="str">
        <f aca="false">$A15</f>
        <v>Corporate functions</v>
      </c>
      <c r="B65" s="21" t="n">
        <f aca="false">$B15+B25+B45-B35</f>
        <v>51</v>
      </c>
      <c r="C65" s="21" t="n">
        <f aca="false">B65+C25+C45-C35</f>
        <v>52</v>
      </c>
      <c r="D65" s="21" t="n">
        <f aca="false">C65+D25+D45-D35</f>
        <v>53</v>
      </c>
      <c r="E65" s="21" t="n">
        <f aca="false">D65+E25+E45-E35</f>
        <v>53</v>
      </c>
      <c r="F65" s="21" t="n">
        <f aca="false">E65-$B15</f>
        <v>3</v>
      </c>
    </row>
    <row r="66" customFormat="false" ht="15" hidden="false" customHeight="false" outlineLevel="0" collapsed="false">
      <c r="A66" s="8" t="str">
        <f aca="false">$A16</f>
        <v>Leadership</v>
      </c>
      <c r="B66" s="21" t="n">
        <f aca="false">$B16+B26+B46-B36</f>
        <v>21</v>
      </c>
      <c r="C66" s="21" t="n">
        <f aca="false">B66+C26+C46-C36</f>
        <v>21</v>
      </c>
      <c r="D66" s="21" t="n">
        <f aca="false">C66+D26+D46-D36</f>
        <v>22</v>
      </c>
      <c r="E66" s="21" t="n">
        <f aca="false">D66+E26+E46-E36</f>
        <v>22</v>
      </c>
      <c r="F66" s="21" t="n">
        <f aca="false">E66-$B16</f>
        <v>2</v>
      </c>
    </row>
    <row r="67" customFormat="false" ht="15" hidden="false" customHeight="false" outlineLevel="0" collapsed="false">
      <c r="A67" s="17" t="s">
        <v>87</v>
      </c>
      <c r="B67" s="22" t="n">
        <f aca="false">SUM(B61:B66)</f>
        <v>413</v>
      </c>
      <c r="C67" s="22" t="n">
        <f aca="false">SUM(C61:C66)</f>
        <v>425</v>
      </c>
      <c r="D67" s="22" t="n">
        <f aca="false">SUM(D61:D66)</f>
        <v>435</v>
      </c>
      <c r="E67" s="22" t="n">
        <f aca="false">SUM(E61:E66)</f>
        <v>442</v>
      </c>
      <c r="F67" s="22" t="n">
        <f aca="false">SUM(F61:F66)</f>
        <v>42</v>
      </c>
    </row>
  </sheetData>
  <mergeCells count="1">
    <mergeCell ref="B5:D5"/>
  </mergeCells>
  <dataValidations count="6">
    <dataValidation allowBlank="false" error="Pick a currency from the list." errorStyle="stop" errorTitle="Currency" operator="between" showDropDown="false" showErrorMessage="true" showInputMessage="false" sqref="B6" type="list">
      <formula1>"USD,GBP,EUR,CAD,AUD,SGD,AED,INR,Other"</formula1>
      <formula2>0</formula2>
    </dataValidation>
    <dataValidation allowBlank="true" error="Enter a number from 1 to 31 (30 is a common choice)." errorStyle="stop" errorTitle="Days per month" operator="between" showDropDown="false" showErrorMessage="true" showInputMessage="false" sqref="B7" type="decimal">
      <formula1>1</formula1>
      <formula2>31</formula2>
    </dataValidation>
    <dataValidation allowBlank="false" error="Choose Yes or No." errorStyle="stop" errorTitle="Backfill" operator="between" showDropDown="false" showErrorMessage="true" showInputMessage="false" sqref="D11:D16" type="list">
      <formula1>"Yes,No"</formula1>
      <formula2>0</formula2>
    </dataValidation>
    <dataValidation allowBlank="true" error="Enter zero or a positive number." errorStyle="stop" errorTitle="Headcount" operator="greaterThanOrEqual" showDropDown="false" showErrorMessage="true" showInputMessage="false" sqref="B11:B16" type="decimal">
      <formula1>0</formula1>
      <formula2>0</formula2>
    </dataValidation>
    <dataValidation allowBlank="true" error="Enter a rate between 0% and 100% a year." errorStyle="stop" errorTitle="Leaver rate" operator="between" showDropDown="false" showErrorMessage="true" showInputMessage="false" sqref="C11:C16" type="decimal">
      <formula1>0</formula1>
      <formula2>1</formula2>
    </dataValidation>
    <dataValidation allowBlank="true" error="Enter zero or a positive number." errorStyle="stop" errorTitle="New positions" operator="greaterThanOrEqual" showDropDown="false" showErrorMessage="true" showInputMessage="false" sqref="B21:E26" type="decimal">
      <formula1>0</formula1>
      <formula2>0</formula2>
    </dataValidation>
  </dataValidations>
  <printOptions headings="false" gridLines="false" gridLinesSet="true" horizontalCentered="true" verticalCentered="false"/>
  <pageMargins left="0.5" right="0.5" top="0.6" bottom="0.8" header="0.511811023622047" footer="0.3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7" min="2" style="0" width="14"/>
    <col collapsed="false" customWidth="true" hidden="false" outlineLevel="0" max="8" min="8" style="0" width="13"/>
    <col collapsed="false" customWidth="true" hidden="false" outlineLevel="0" max="9" min="9" style="0" width="14"/>
    <col collapsed="false" customWidth="true" hidden="false" outlineLevel="0" max="11" min="10" style="0" width="16"/>
    <col collapsed="false" customWidth="true" hidden="false" outlineLevel="0" max="12" min="12" style="0" width="12"/>
  </cols>
  <sheetData>
    <row r="1" customFormat="false" ht="19.7" hidden="false" customHeight="false" outlineLevel="0" collapsed="false">
      <c r="A1" s="1" t="s">
        <v>93</v>
      </c>
    </row>
    <row r="2" customFormat="false" ht="15" hidden="false" customHeight="false" outlineLevel="0" collapsed="false">
      <c r="A2" s="12" t="s">
        <v>94</v>
      </c>
    </row>
    <row r="3" customFormat="false" ht="15" hidden="false" customHeight="false" outlineLevel="0" collapsed="false">
      <c r="A3" s="12" t="s">
        <v>95</v>
      </c>
    </row>
    <row r="5" customFormat="false" ht="15" hidden="false" customHeight="false" outlineLevel="0" collapsed="false">
      <c r="A5" s="4" t="s">
        <v>96</v>
      </c>
    </row>
    <row r="6" customFormat="false" ht="48" hidden="false" customHeight="true" outlineLevel="0" collapsed="false">
      <c r="A6" s="15" t="s">
        <v>69</v>
      </c>
      <c r="B6" s="15" t="s">
        <v>97</v>
      </c>
      <c r="C6" s="15" t="s">
        <v>98</v>
      </c>
      <c r="D6" s="15" t="s">
        <v>99</v>
      </c>
      <c r="E6" s="15" t="s">
        <v>100</v>
      </c>
      <c r="F6" s="15" t="s">
        <v>101</v>
      </c>
      <c r="G6" s="15" t="s">
        <v>102</v>
      </c>
      <c r="H6" s="15" t="s">
        <v>103</v>
      </c>
      <c r="I6" s="15" t="s">
        <v>104</v>
      </c>
      <c r="J6" s="15" t="s">
        <v>105</v>
      </c>
      <c r="K6" s="15" t="s">
        <v>106</v>
      </c>
      <c r="L6" s="15" t="s">
        <v>107</v>
      </c>
    </row>
    <row r="7" customFormat="false" ht="15" hidden="false" customHeight="false" outlineLevel="0" collapsed="false">
      <c r="A7" s="8" t="str">
        <f aca="false">Headcount!$A11</f>
        <v>Engineering</v>
      </c>
      <c r="B7" s="14" t="n">
        <v>75</v>
      </c>
      <c r="C7" s="23" t="n">
        <v>1</v>
      </c>
      <c r="D7" s="16" t="n">
        <v>0.25</v>
      </c>
      <c r="E7" s="16" t="n">
        <v>0.4</v>
      </c>
      <c r="F7" s="16" t="n">
        <v>0.25</v>
      </c>
      <c r="G7" s="16" t="n">
        <v>0.8</v>
      </c>
      <c r="H7" s="24" t="n">
        <f aca="false">IF(AND(D7&gt;0,E7&gt;0,F7&gt;0,G7&gt;0),D7*E7*F7*G7,0)</f>
        <v>0.02</v>
      </c>
      <c r="I7" s="21" t="n">
        <f aca="false">IF(H7&gt;0,1/H7,0)</f>
        <v>50</v>
      </c>
      <c r="J7" s="21" t="n">
        <f aca="false">IF(AND(E7&gt;0,F7&gt;0,G7&gt;0),1/(E7*F7*G7),0)</f>
        <v>12.5</v>
      </c>
      <c r="K7" s="21" t="n">
        <f aca="false">IF(AND(F7&gt;0,G7&gt;0),1/(F7*G7),0)</f>
        <v>5</v>
      </c>
      <c r="L7" s="25" t="n">
        <f aca="false">IF(G7&gt;0,1/G7,0)</f>
        <v>1.25</v>
      </c>
    </row>
    <row r="8" customFormat="false" ht="15" hidden="false" customHeight="false" outlineLevel="0" collapsed="false">
      <c r="A8" s="8" t="str">
        <f aca="false">Headcount!$A12</f>
        <v>Sales</v>
      </c>
      <c r="B8" s="14" t="n">
        <v>45</v>
      </c>
      <c r="C8" s="23" t="n">
        <v>1</v>
      </c>
      <c r="D8" s="16" t="n">
        <v>0.3</v>
      </c>
      <c r="E8" s="16" t="n">
        <v>0.45</v>
      </c>
      <c r="F8" s="16" t="n">
        <v>0.3</v>
      </c>
      <c r="G8" s="16" t="n">
        <v>0.85</v>
      </c>
      <c r="H8" s="24" t="n">
        <f aca="false">IF(AND(D8&gt;0,E8&gt;0,F8&gt;0,G8&gt;0),D8*E8*F8*G8,0)</f>
        <v>0.034425</v>
      </c>
      <c r="I8" s="21" t="n">
        <f aca="false">IF(H8&gt;0,1/H8,0)</f>
        <v>29.0486564996369</v>
      </c>
      <c r="J8" s="21" t="n">
        <f aca="false">IF(AND(E8&gt;0,F8&gt;0,G8&gt;0),1/(E8*F8*G8),0)</f>
        <v>8.71459694989107</v>
      </c>
      <c r="K8" s="21" t="n">
        <f aca="false">IF(AND(F8&gt;0,G8&gt;0),1/(F8*G8),0)</f>
        <v>3.92156862745098</v>
      </c>
      <c r="L8" s="25" t="n">
        <f aca="false">IF(G8&gt;0,1/G8,0)</f>
        <v>1.17647058823529</v>
      </c>
    </row>
    <row r="9" customFormat="false" ht="15" hidden="false" customHeight="false" outlineLevel="0" collapsed="false">
      <c r="A9" s="8" t="str">
        <f aca="false">Headcount!$A13</f>
        <v>Customer support</v>
      </c>
      <c r="B9" s="14" t="n">
        <v>30</v>
      </c>
      <c r="C9" s="23" t="n">
        <v>3</v>
      </c>
      <c r="D9" s="16" t="n">
        <v>0.35</v>
      </c>
      <c r="E9" s="16" t="n">
        <v>0.5</v>
      </c>
      <c r="F9" s="16" t="n">
        <v>0.4</v>
      </c>
      <c r="G9" s="16" t="n">
        <v>0.9</v>
      </c>
      <c r="H9" s="24" t="n">
        <f aca="false">IF(AND(D9&gt;0,E9&gt;0,F9&gt;0,G9&gt;0),D9*E9*F9*G9,0)</f>
        <v>0.063</v>
      </c>
      <c r="I9" s="21" t="n">
        <f aca="false">IF(H9&gt;0,1/H9,0)</f>
        <v>15.8730158730159</v>
      </c>
      <c r="J9" s="21" t="n">
        <f aca="false">IF(AND(E9&gt;0,F9&gt;0,G9&gt;0),1/(E9*F9*G9),0)</f>
        <v>5.55555555555555</v>
      </c>
      <c r="K9" s="21" t="n">
        <f aca="false">IF(AND(F9&gt;0,G9&gt;0),1/(F9*G9),0)</f>
        <v>2.77777777777778</v>
      </c>
      <c r="L9" s="25" t="n">
        <f aca="false">IF(G9&gt;0,1/G9,0)</f>
        <v>1.11111111111111</v>
      </c>
    </row>
    <row r="10" customFormat="false" ht="15" hidden="false" customHeight="false" outlineLevel="0" collapsed="false">
      <c r="A10" s="8" t="str">
        <f aca="false">Headcount!$A14</f>
        <v>Operations</v>
      </c>
      <c r="B10" s="14" t="n">
        <v>40</v>
      </c>
      <c r="C10" s="23" t="n">
        <v>2</v>
      </c>
      <c r="D10" s="16" t="n">
        <v>0.3</v>
      </c>
      <c r="E10" s="16" t="n">
        <v>0.5</v>
      </c>
      <c r="F10" s="16" t="n">
        <v>0.35</v>
      </c>
      <c r="G10" s="16" t="n">
        <v>0.9</v>
      </c>
      <c r="H10" s="24" t="n">
        <f aca="false">IF(AND(D10&gt;0,E10&gt;0,F10&gt;0,G10&gt;0),D10*E10*F10*G10,0)</f>
        <v>0.04725</v>
      </c>
      <c r="I10" s="21" t="n">
        <f aca="false">IF(H10&gt;0,1/H10,0)</f>
        <v>21.1640211640212</v>
      </c>
      <c r="J10" s="21" t="n">
        <f aca="false">IF(AND(E10&gt;0,F10&gt;0,G10&gt;0),1/(E10*F10*G10),0)</f>
        <v>6.34920634920635</v>
      </c>
      <c r="K10" s="21" t="n">
        <f aca="false">IF(AND(F10&gt;0,G10&gt;0),1/(F10*G10),0)</f>
        <v>3.17460317460317</v>
      </c>
      <c r="L10" s="25" t="n">
        <f aca="false">IF(G10&gt;0,1/G10,0)</f>
        <v>1.11111111111111</v>
      </c>
    </row>
    <row r="11" customFormat="false" ht="15" hidden="false" customHeight="false" outlineLevel="0" collapsed="false">
      <c r="A11" s="8" t="str">
        <f aca="false">Headcount!$A15</f>
        <v>Corporate functions</v>
      </c>
      <c r="B11" s="14" t="n">
        <v>55</v>
      </c>
      <c r="C11" s="23" t="n">
        <v>1</v>
      </c>
      <c r="D11" s="16" t="n">
        <v>0.2</v>
      </c>
      <c r="E11" s="16" t="n">
        <v>0.4</v>
      </c>
      <c r="F11" s="16" t="n">
        <v>0.3</v>
      </c>
      <c r="G11" s="16" t="n">
        <v>0.85</v>
      </c>
      <c r="H11" s="24" t="n">
        <f aca="false">IF(AND(D11&gt;0,E11&gt;0,F11&gt;0,G11&gt;0),D11*E11*F11*G11,0)</f>
        <v>0.0204</v>
      </c>
      <c r="I11" s="21" t="n">
        <f aca="false">IF(H11&gt;0,1/H11,0)</f>
        <v>49.0196078431373</v>
      </c>
      <c r="J11" s="21" t="n">
        <f aca="false">IF(AND(E11&gt;0,F11&gt;0,G11&gt;0),1/(E11*F11*G11),0)</f>
        <v>9.80392156862745</v>
      </c>
      <c r="K11" s="21" t="n">
        <f aca="false">IF(AND(F11&gt;0,G11&gt;0),1/(F11*G11),0)</f>
        <v>3.92156862745098</v>
      </c>
      <c r="L11" s="25" t="n">
        <f aca="false">IF(G11&gt;0,1/G11,0)</f>
        <v>1.17647058823529</v>
      </c>
    </row>
    <row r="12" customFormat="false" ht="15" hidden="false" customHeight="false" outlineLevel="0" collapsed="false">
      <c r="A12" s="8" t="str">
        <f aca="false">Headcount!$A16</f>
        <v>Leadership</v>
      </c>
      <c r="B12" s="14" t="n">
        <v>100</v>
      </c>
      <c r="C12" s="23" t="n">
        <v>1</v>
      </c>
      <c r="D12" s="16" t="n">
        <v>0.2</v>
      </c>
      <c r="E12" s="16" t="n">
        <v>0.35</v>
      </c>
      <c r="F12" s="16" t="n">
        <v>0.4</v>
      </c>
      <c r="G12" s="16" t="n">
        <v>0.75</v>
      </c>
      <c r="H12" s="24" t="n">
        <f aca="false">IF(AND(D12&gt;0,E12&gt;0,F12&gt;0,G12&gt;0),D12*E12*F12*G12,0)</f>
        <v>0.021</v>
      </c>
      <c r="I12" s="21" t="n">
        <f aca="false">IF(H12&gt;0,1/H12,0)</f>
        <v>47.6190476190476</v>
      </c>
      <c r="J12" s="21" t="n">
        <f aca="false">IF(AND(E12&gt;0,F12&gt;0,G12&gt;0),1/(E12*F12*G12),0)</f>
        <v>9.52380952380953</v>
      </c>
      <c r="K12" s="21" t="n">
        <f aca="false">IF(AND(F12&gt;0,G12&gt;0),1/(F12*G12),0)</f>
        <v>3.33333333333333</v>
      </c>
      <c r="L12" s="25" t="n">
        <f aca="false">IF(G12&gt;0,1/G12,0)</f>
        <v>1.33333333333333</v>
      </c>
    </row>
    <row r="13" customFormat="false" ht="15" hidden="false" customHeight="false" outlineLevel="0" collapsed="false">
      <c r="A13" s="17" t="s">
        <v>108</v>
      </c>
      <c r="B13" s="22" t="n">
        <f aca="false">IF(Headcount!$F$57&gt;0,SUMPRODUCT(B7:B12,Headcount!$F$51:$F$56)/Headcount!$F$57,0)</f>
        <v>48.6769258581339</v>
      </c>
      <c r="C13" s="17"/>
      <c r="D13" s="17"/>
      <c r="E13" s="17"/>
      <c r="F13" s="17"/>
      <c r="G13" s="17"/>
      <c r="H13" s="17"/>
      <c r="I13" s="22" t="n">
        <f aca="false">IF(Headcount!$F$57&gt;0,SUMPRODUCT(I7:I12,Headcount!$F$51:$F$56)/Headcount!$F$57,0)</f>
        <v>30.3004636917969</v>
      </c>
      <c r="J13" s="22" t="n">
        <f aca="false">IF(Headcount!$F$57&gt;0,SUMPRODUCT(J7:J12,Headcount!$F$51:$F$56)/Headcount!$F$57,0)</f>
        <v>8.26851614309028</v>
      </c>
      <c r="K13" s="22" t="n">
        <f aca="false">IF(Headcount!$F$57&gt;0,SUMPRODUCT(K7:K12,Headcount!$F$51:$F$56)/Headcount!$F$57,0)</f>
        <v>3.66137473300697</v>
      </c>
      <c r="L13" s="26" t="n">
        <f aca="false">IF(Headcount!$F$57&gt;0,SUMPRODUCT(L7:L12,Headcount!$F$51:$F$56)/Headcount!$F$57,0)</f>
        <v>1.16605557852213</v>
      </c>
    </row>
    <row r="15" customFormat="false" ht="15" hidden="false" customHeight="false" outlineLevel="0" collapsed="false">
      <c r="A15" s="4" t="s">
        <v>109</v>
      </c>
    </row>
    <row r="16" customFormat="false" ht="31.5" hidden="false" customHeight="true" outlineLevel="0" collapsed="false">
      <c r="A16" s="15" t="s">
        <v>69</v>
      </c>
      <c r="B16" s="15" t="s">
        <v>44</v>
      </c>
      <c r="C16" s="15" t="s">
        <v>110</v>
      </c>
      <c r="D16" s="15" t="s">
        <v>111</v>
      </c>
      <c r="E16" s="15" t="s">
        <v>112</v>
      </c>
      <c r="F16" s="15" t="s">
        <v>113</v>
      </c>
    </row>
    <row r="17" customFormat="false" ht="15" hidden="false" customHeight="false" outlineLevel="0" collapsed="false">
      <c r="A17" s="8" t="str">
        <f aca="false">A7</f>
        <v>Engineering</v>
      </c>
      <c r="B17" s="21" t="n">
        <f aca="false">Headcount!F51</f>
        <v>23.29</v>
      </c>
      <c r="C17" s="21" t="n">
        <f aca="false">B17*L7</f>
        <v>29.1125</v>
      </c>
      <c r="D17" s="21" t="n">
        <f aca="false">B17*K7</f>
        <v>116.45</v>
      </c>
      <c r="E17" s="21" t="n">
        <f aca="false">B17*J7</f>
        <v>291.125</v>
      </c>
      <c r="F17" s="20" t="n">
        <f aca="false">B17*I7</f>
        <v>1164.5</v>
      </c>
    </row>
    <row r="18" customFormat="false" ht="15" hidden="false" customHeight="false" outlineLevel="0" collapsed="false">
      <c r="A18" s="8" t="str">
        <f aca="false">A8</f>
        <v>Sales</v>
      </c>
      <c r="B18" s="21" t="n">
        <f aca="false">Headcount!F52</f>
        <v>22.85</v>
      </c>
      <c r="C18" s="21" t="n">
        <f aca="false">B18*L8</f>
        <v>26.8823529411765</v>
      </c>
      <c r="D18" s="21" t="n">
        <f aca="false">B18*K8</f>
        <v>89.6078431372549</v>
      </c>
      <c r="E18" s="21" t="n">
        <f aca="false">B18*J8</f>
        <v>199.128540305011</v>
      </c>
      <c r="F18" s="20" t="n">
        <f aca="false">B18*I8</f>
        <v>663.761801016703</v>
      </c>
    </row>
    <row r="19" customFormat="false" ht="15" hidden="false" customHeight="false" outlineLevel="0" collapsed="false">
      <c r="A19" s="8" t="str">
        <f aca="false">A9</f>
        <v>Customer support</v>
      </c>
      <c r="B19" s="21" t="n">
        <f aca="false">Headcount!F53</f>
        <v>31.25</v>
      </c>
      <c r="C19" s="21" t="n">
        <f aca="false">B19*L9</f>
        <v>34.7222222222222</v>
      </c>
      <c r="D19" s="21" t="n">
        <f aca="false">B19*K9</f>
        <v>86.8055555555555</v>
      </c>
      <c r="E19" s="21" t="n">
        <f aca="false">B19*J9</f>
        <v>173.611111111111</v>
      </c>
      <c r="F19" s="20" t="n">
        <f aca="false">B19*I9</f>
        <v>496.031746031746</v>
      </c>
    </row>
    <row r="20" customFormat="false" ht="15" hidden="false" customHeight="false" outlineLevel="0" collapsed="false">
      <c r="A20" s="8" t="str">
        <f aca="false">A10</f>
        <v>Operations</v>
      </c>
      <c r="B20" s="21" t="n">
        <f aca="false">Headcount!F54</f>
        <v>21.4125</v>
      </c>
      <c r="C20" s="21" t="n">
        <f aca="false">B20*L10</f>
        <v>23.7916666666667</v>
      </c>
      <c r="D20" s="21" t="n">
        <f aca="false">B20*K10</f>
        <v>67.9761904761905</v>
      </c>
      <c r="E20" s="21" t="n">
        <f aca="false">B20*J10</f>
        <v>135.952380952381</v>
      </c>
      <c r="F20" s="20" t="n">
        <f aca="false">B20*I10</f>
        <v>453.174603174603</v>
      </c>
    </row>
    <row r="21" customFormat="false" ht="15" hidden="false" customHeight="false" outlineLevel="0" collapsed="false">
      <c r="A21" s="8" t="str">
        <f aca="false">A11</f>
        <v>Corporate functions</v>
      </c>
      <c r="B21" s="21" t="n">
        <f aca="false">Headcount!F55</f>
        <v>8.15</v>
      </c>
      <c r="C21" s="21" t="n">
        <f aca="false">B21*L11</f>
        <v>9.58823529411765</v>
      </c>
      <c r="D21" s="21" t="n">
        <f aca="false">B21*K11</f>
        <v>31.9607843137255</v>
      </c>
      <c r="E21" s="21" t="n">
        <f aca="false">B21*J11</f>
        <v>79.9019607843137</v>
      </c>
      <c r="F21" s="20" t="n">
        <f aca="false">B21*I11</f>
        <v>399.509803921569</v>
      </c>
    </row>
    <row r="22" customFormat="false" ht="15" hidden="false" customHeight="false" outlineLevel="0" collapsed="false">
      <c r="A22" s="8" t="str">
        <f aca="false">A12</f>
        <v>Leadership</v>
      </c>
      <c r="B22" s="21" t="n">
        <f aca="false">Headcount!F56</f>
        <v>3.68</v>
      </c>
      <c r="C22" s="21" t="n">
        <f aca="false">B22*L12</f>
        <v>4.90666666666667</v>
      </c>
      <c r="D22" s="21" t="n">
        <f aca="false">B22*K12</f>
        <v>12.2666666666667</v>
      </c>
      <c r="E22" s="21" t="n">
        <f aca="false">B22*J12</f>
        <v>35.0476190476191</v>
      </c>
      <c r="F22" s="20" t="n">
        <f aca="false">B22*I12</f>
        <v>175.238095238095</v>
      </c>
    </row>
    <row r="23" customFormat="false" ht="15" hidden="false" customHeight="false" outlineLevel="0" collapsed="false">
      <c r="A23" s="17" t="s">
        <v>87</v>
      </c>
      <c r="B23" s="22" t="n">
        <f aca="false">SUM(B17:B22)</f>
        <v>110.6325</v>
      </c>
      <c r="C23" s="22" t="n">
        <f aca="false">SUM(C17:C22)</f>
        <v>129.00364379085</v>
      </c>
      <c r="D23" s="22" t="n">
        <f aca="false">SUM(D17:D22)</f>
        <v>405.067040149393</v>
      </c>
      <c r="E23" s="22" t="n">
        <f aca="false">SUM(E17:E22)</f>
        <v>914.766612200436</v>
      </c>
      <c r="F23" s="18" t="n">
        <f aca="false">SUM(F17:F22)</f>
        <v>3352.21604938272</v>
      </c>
    </row>
    <row r="25" customFormat="false" ht="15" hidden="false" customHeight="false" outlineLevel="0" collapsed="false">
      <c r="A25" s="4" t="s">
        <v>114</v>
      </c>
    </row>
    <row r="26" customFormat="false" ht="15" hidden="false" customHeight="false" outlineLevel="0" collapsed="false">
      <c r="A26" s="15" t="s">
        <v>115</v>
      </c>
      <c r="B26" s="15" t="s">
        <v>82</v>
      </c>
      <c r="C26" s="15" t="s">
        <v>83</v>
      </c>
      <c r="D26" s="15" t="s">
        <v>84</v>
      </c>
      <c r="E26" s="15" t="s">
        <v>85</v>
      </c>
      <c r="F26" s="15" t="s">
        <v>86</v>
      </c>
    </row>
    <row r="27" customFormat="false" ht="15" hidden="false" customHeight="false" outlineLevel="0" collapsed="false">
      <c r="A27" s="8" t="s">
        <v>110</v>
      </c>
      <c r="B27" s="21" t="n">
        <f aca="false">SUMPRODUCT(Headcount!B$51:B$56,$L$7:$L$12)</f>
        <v>34.433660130719</v>
      </c>
      <c r="C27" s="21" t="n">
        <f aca="false">SUMPRODUCT(Headcount!C$51:C$56,$L$7:$L$12)</f>
        <v>33.7050980392157</v>
      </c>
      <c r="D27" s="21" t="n">
        <f aca="false">SUMPRODUCT(Headcount!D$51:D$56,$L$7:$L$12)</f>
        <v>32.078954248366</v>
      </c>
      <c r="E27" s="21" t="n">
        <f aca="false">SUMPRODUCT(Headcount!E$51:E$56,$L$7:$L$12)</f>
        <v>28.785931372549</v>
      </c>
      <c r="F27" s="21" t="n">
        <f aca="false">SUM(B27:E27)</f>
        <v>129.00364379085</v>
      </c>
    </row>
    <row r="28" customFormat="false" ht="15" hidden="false" customHeight="false" outlineLevel="0" collapsed="false">
      <c r="A28" s="8" t="s">
        <v>111</v>
      </c>
      <c r="B28" s="21" t="n">
        <f aca="false">SUMPRODUCT(Headcount!B$51:B$56,$K$7:$K$12)</f>
        <v>108.454131652661</v>
      </c>
      <c r="C28" s="21" t="n">
        <f aca="false">SUMPRODUCT(Headcount!C$51:C$56,$K$7:$K$12)</f>
        <v>107.059056956116</v>
      </c>
      <c r="D28" s="21" t="n">
        <f aca="false">SUMPRODUCT(Headcount!D$51:D$56,$K$7:$K$12)</f>
        <v>100.167810457516</v>
      </c>
      <c r="E28" s="21" t="n">
        <f aca="false">SUMPRODUCT(Headcount!E$51:E$56,$K$7:$K$12)</f>
        <v>89.3860410830999</v>
      </c>
      <c r="F28" s="21" t="n">
        <f aca="false">SUM(B28:E28)</f>
        <v>405.067040149393</v>
      </c>
    </row>
    <row r="29" customFormat="false" ht="15" hidden="false" customHeight="false" outlineLevel="0" collapsed="false">
      <c r="A29" s="8" t="s">
        <v>112</v>
      </c>
      <c r="B29" s="21" t="n">
        <f aca="false">SUMPRODUCT(Headcount!B$51:B$56,$J$7:$J$12)</f>
        <v>246.548786181139</v>
      </c>
      <c r="C29" s="21" t="n">
        <f aca="false">SUMPRODUCT(Headcount!C$51:C$56,$J$7:$J$12)</f>
        <v>241.43837535014</v>
      </c>
      <c r="D29" s="21" t="n">
        <f aca="false">SUMPRODUCT(Headcount!D$51:D$56,$J$7:$J$12)</f>
        <v>227.621304077186</v>
      </c>
      <c r="E29" s="21" t="n">
        <f aca="false">SUMPRODUCT(Headcount!E$51:E$56,$J$7:$J$12)</f>
        <v>199.15814659197</v>
      </c>
      <c r="F29" s="21" t="n">
        <f aca="false">SUM(B29:E29)</f>
        <v>914.766612200436</v>
      </c>
    </row>
    <row r="30" customFormat="false" ht="15" hidden="false" customHeight="false" outlineLevel="0" collapsed="false">
      <c r="A30" s="8" t="s">
        <v>113</v>
      </c>
      <c r="B30" s="20" t="n">
        <f aca="false">SUMPRODUCT(Headcount!B$51:B$56,$I$7:$I$12)</f>
        <v>913.977591036415</v>
      </c>
      <c r="C30" s="20" t="n">
        <f aca="false">SUMPRODUCT(Headcount!C$51:C$56,$I$7:$I$12)</f>
        <v>882.465141612201</v>
      </c>
      <c r="D30" s="20" t="n">
        <f aca="false">SUMPRODUCT(Headcount!D$51:D$56,$I$7:$I$12)</f>
        <v>845.025728810043</v>
      </c>
      <c r="E30" s="20" t="n">
        <f aca="false">SUMPRODUCT(Headcount!E$51:E$56,$I$7:$I$12)</f>
        <v>710.747587924059</v>
      </c>
      <c r="F30" s="20" t="n">
        <f aca="false">SUM(B30:E30)</f>
        <v>3352.21604938272</v>
      </c>
    </row>
  </sheetData>
  <dataValidations count="2">
    <dataValidation allowBlank="true" error="Enter zero or a positive number." errorStyle="stop" errorTitle="Days or hires" operator="greaterThanOrEqual" showDropDown="false" showErrorMessage="true" showInputMessage="false" sqref="B7:C12" type="decimal">
      <formula1>0</formula1>
      <formula2>0</formula2>
    </dataValidation>
    <dataValidation allowBlank="true" error="Enter a rate between 0% and 100%." errorStyle="stop" errorTitle="Conversion rate" operator="between" showDropDown="false" showErrorMessage="true" showInputMessage="false" sqref="D7:G12" type="decimal">
      <formula1>0</formula1>
      <formula2>1</formula2>
    </dataValidation>
  </dataValidations>
  <printOptions headings="false" gridLines="false" gridLinesSet="true" horizontalCentered="true" verticalCentered="false"/>
  <pageMargins left="0.5" right="0.5" top="0.6" bottom="0.8" header="0.511811023622047" footer="0.3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5" min="2" style="0" width="16"/>
    <col collapsed="false" customWidth="true" hidden="false" outlineLevel="0" max="6" min="6" style="0" width="18"/>
    <col collapsed="false" customWidth="true" hidden="false" outlineLevel="0" max="7" min="7" style="0" width="14"/>
  </cols>
  <sheetData>
    <row r="1" customFormat="false" ht="19.7" hidden="false" customHeight="false" outlineLevel="0" collapsed="false">
      <c r="A1" s="1" t="s">
        <v>116</v>
      </c>
    </row>
    <row r="2" customFormat="false" ht="15" hidden="false" customHeight="false" outlineLevel="0" collapsed="false">
      <c r="A2" s="12" t="s">
        <v>117</v>
      </c>
    </row>
    <row r="4" customFormat="false" ht="15" hidden="false" customHeight="false" outlineLevel="0" collapsed="false">
      <c r="A4" s="4" t="s">
        <v>118</v>
      </c>
    </row>
    <row r="5" customFormat="false" ht="15" hidden="false" customHeight="false" outlineLevel="0" collapsed="false">
      <c r="A5" s="8" t="s">
        <v>119</v>
      </c>
      <c r="B5" s="23" t="n">
        <v>1</v>
      </c>
    </row>
    <row r="6" customFormat="false" ht="15" hidden="false" customHeight="false" outlineLevel="0" collapsed="false">
      <c r="A6" s="8" t="s">
        <v>120</v>
      </c>
      <c r="B6" s="27" t="n">
        <v>0.85</v>
      </c>
      <c r="C6" s="28" t="s">
        <v>121</v>
      </c>
    </row>
    <row r="7" customFormat="false" ht="15" hidden="false" customHeight="false" outlineLevel="0" collapsed="false">
      <c r="A7" s="8" t="s">
        <v>122</v>
      </c>
      <c r="B7" s="14" t="n">
        <v>400</v>
      </c>
      <c r="C7" s="28" t="s">
        <v>123</v>
      </c>
    </row>
    <row r="8" customFormat="false" ht="15" hidden="false" customHeight="false" outlineLevel="0" collapsed="false">
      <c r="A8" s="8" t="str">
        <f aca="false">"Loaded annual cost per recruiter ("&amp;Headcount!$B$6&amp;")"</f>
        <v>Loaded annual cost per recruiter (USD)</v>
      </c>
      <c r="B8" s="14" t="n">
        <v>80000</v>
      </c>
    </row>
    <row r="9" customFormat="false" ht="15" hidden="false" customHeight="false" outlineLevel="0" collapsed="false">
      <c r="A9" s="8" t="s">
        <v>124</v>
      </c>
      <c r="B9" s="13" t="s">
        <v>125</v>
      </c>
    </row>
    <row r="11" customFormat="false" ht="15" hidden="false" customHeight="false" outlineLevel="0" collapsed="false">
      <c r="A11" s="15" t="s">
        <v>126</v>
      </c>
      <c r="B11" s="15" t="s">
        <v>82</v>
      </c>
      <c r="C11" s="15" t="s">
        <v>83</v>
      </c>
      <c r="D11" s="15" t="s">
        <v>84</v>
      </c>
      <c r="E11" s="15" t="s">
        <v>85</v>
      </c>
    </row>
    <row r="12" customFormat="false" ht="15" hidden="false" customHeight="false" outlineLevel="0" collapsed="false">
      <c r="A12" s="8" t="s">
        <v>127</v>
      </c>
      <c r="B12" s="23" t="n">
        <v>0</v>
      </c>
      <c r="C12" s="23" t="n">
        <v>1</v>
      </c>
      <c r="D12" s="23" t="n">
        <v>0</v>
      </c>
      <c r="E12" s="23" t="n">
        <v>0</v>
      </c>
    </row>
    <row r="14" customFormat="false" ht="15" hidden="false" customHeight="false" outlineLevel="0" collapsed="false">
      <c r="A14" s="4" t="s">
        <v>128</v>
      </c>
    </row>
    <row r="15" customFormat="false" ht="48" hidden="false" customHeight="true" outlineLevel="0" collapsed="false">
      <c r="A15" s="15" t="s">
        <v>69</v>
      </c>
      <c r="B15" s="15" t="s">
        <v>129</v>
      </c>
      <c r="C15" s="15" t="s">
        <v>130</v>
      </c>
      <c r="D15" s="15" t="s">
        <v>131</v>
      </c>
      <c r="E15" s="15" t="s">
        <v>132</v>
      </c>
      <c r="F15" s="15" t="s">
        <v>133</v>
      </c>
      <c r="G15" s="15" t="s">
        <v>134</v>
      </c>
    </row>
    <row r="16" customFormat="false" ht="15" hidden="false" customHeight="false" outlineLevel="0" collapsed="false">
      <c r="A16" s="8" t="str">
        <f aca="false">Headcount!$A11</f>
        <v>Engineering</v>
      </c>
      <c r="B16" s="14" t="n">
        <v>12</v>
      </c>
      <c r="C16" s="14" t="n">
        <v>5</v>
      </c>
      <c r="D16" s="14" t="n">
        <v>45</v>
      </c>
      <c r="E16" s="14" t="n">
        <v>90</v>
      </c>
      <c r="F16" s="14" t="n">
        <v>180</v>
      </c>
      <c r="G16" s="21" t="n">
        <f aca="false">(Funnel!I7*C16+Funnel!J7*D16+Funnel!K7*E16+Funnel!L7*F16)/60</f>
        <v>24.7916666666667</v>
      </c>
    </row>
    <row r="17" customFormat="false" ht="15" hidden="false" customHeight="false" outlineLevel="0" collapsed="false">
      <c r="A17" s="8" t="str">
        <f aca="false">Headcount!$A12</f>
        <v>Sales</v>
      </c>
      <c r="B17" s="14" t="n">
        <v>20</v>
      </c>
      <c r="C17" s="14" t="n">
        <v>4</v>
      </c>
      <c r="D17" s="14" t="n">
        <v>45</v>
      </c>
      <c r="E17" s="14" t="n">
        <v>75</v>
      </c>
      <c r="F17" s="14" t="n">
        <v>150</v>
      </c>
      <c r="G17" s="21" t="n">
        <f aca="false">(Funnel!I8*C17+Funnel!J8*D17+Funnel!K8*E17+Funnel!L8*F17)/60</f>
        <v>16.3156620672961</v>
      </c>
    </row>
    <row r="18" customFormat="false" ht="15" hidden="false" customHeight="false" outlineLevel="0" collapsed="false">
      <c r="A18" s="8" t="str">
        <f aca="false">Headcount!$A13</f>
        <v>Customer support</v>
      </c>
      <c r="B18" s="14" t="n">
        <v>30</v>
      </c>
      <c r="C18" s="14" t="n">
        <v>3</v>
      </c>
      <c r="D18" s="14" t="n">
        <v>30</v>
      </c>
      <c r="E18" s="14" t="n">
        <v>45</v>
      </c>
      <c r="F18" s="14" t="n">
        <v>60</v>
      </c>
      <c r="G18" s="21" t="n">
        <f aca="false">(Funnel!I9*C18+Funnel!J9*D18+Funnel!K9*E18+Funnel!L9*F18)/60</f>
        <v>6.76587301587302</v>
      </c>
    </row>
    <row r="19" customFormat="false" ht="15" hidden="false" customHeight="false" outlineLevel="0" collapsed="false">
      <c r="A19" s="8" t="str">
        <f aca="false">Headcount!$A14</f>
        <v>Operations</v>
      </c>
      <c r="B19" s="14" t="n">
        <v>25</v>
      </c>
      <c r="C19" s="14" t="n">
        <v>3</v>
      </c>
      <c r="D19" s="14" t="n">
        <v>30</v>
      </c>
      <c r="E19" s="14" t="n">
        <v>45</v>
      </c>
      <c r="F19" s="14" t="n">
        <v>90</v>
      </c>
      <c r="G19" s="21" t="n">
        <f aca="false">(Funnel!I10*C19+Funnel!J10*D19+Funnel!K10*E19+Funnel!L10*F19)/60</f>
        <v>8.28042328042328</v>
      </c>
    </row>
    <row r="20" customFormat="false" ht="15" hidden="false" customHeight="false" outlineLevel="0" collapsed="false">
      <c r="A20" s="8" t="str">
        <f aca="false">Headcount!$A15</f>
        <v>Corporate functions</v>
      </c>
      <c r="B20" s="14" t="n">
        <v>15</v>
      </c>
      <c r="C20" s="14" t="n">
        <v>5</v>
      </c>
      <c r="D20" s="14" t="n">
        <v>45</v>
      </c>
      <c r="E20" s="14" t="n">
        <v>90</v>
      </c>
      <c r="F20" s="14" t="n">
        <v>180</v>
      </c>
      <c r="G20" s="21" t="n">
        <f aca="false">(Funnel!I11*C20+Funnel!J11*D20+Funnel!K11*E20+Funnel!L11*F20)/60</f>
        <v>20.8496732026144</v>
      </c>
    </row>
    <row r="21" customFormat="false" ht="15" hidden="false" customHeight="false" outlineLevel="0" collapsed="false">
      <c r="A21" s="8" t="str">
        <f aca="false">Headcount!$A16</f>
        <v>Leadership</v>
      </c>
      <c r="B21" s="14" t="n">
        <v>6</v>
      </c>
      <c r="C21" s="14" t="n">
        <v>15</v>
      </c>
      <c r="D21" s="14" t="n">
        <v>90</v>
      </c>
      <c r="E21" s="14" t="n">
        <v>180</v>
      </c>
      <c r="F21" s="14" t="n">
        <v>480</v>
      </c>
      <c r="G21" s="21" t="n">
        <f aca="false">(Funnel!I12*C21+Funnel!J12*D21+Funnel!K12*E21+Funnel!L12*F21)/60</f>
        <v>46.8571428571429</v>
      </c>
    </row>
    <row r="23" customFormat="false" ht="15" hidden="false" customHeight="false" outlineLevel="0" collapsed="false">
      <c r="A23" s="4" t="s">
        <v>135</v>
      </c>
    </row>
    <row r="24" customFormat="false" ht="18" hidden="false" customHeight="true" outlineLevel="0" collapsed="false">
      <c r="A24" s="15" t="s">
        <v>69</v>
      </c>
      <c r="B24" s="15" t="s">
        <v>82</v>
      </c>
      <c r="C24" s="15" t="s">
        <v>83</v>
      </c>
      <c r="D24" s="15" t="s">
        <v>84</v>
      </c>
      <c r="E24" s="15" t="s">
        <v>85</v>
      </c>
    </row>
    <row r="25" customFormat="false" ht="15" hidden="false" customHeight="false" outlineLevel="0" collapsed="false">
      <c r="A25" s="8" t="str">
        <f aca="false">Headcount!$A11</f>
        <v>Engineering</v>
      </c>
      <c r="B25" s="21" t="n">
        <f aca="false">IF(AND(Headcount!$B$7&gt;0,Funnel!$C7&gt;0),(Headcount!B51/3)*Funnel!$B7/Headcount!$B$7/Funnel!$C7,0)</f>
        <v>5.33333333333333</v>
      </c>
      <c r="C25" s="21" t="n">
        <f aca="false">IF(AND(Headcount!$B$7&gt;0,Funnel!$C7&gt;0),(Headcount!C51/3)*Funnel!$B7/Headcount!$B$7/Funnel!$C7,0)</f>
        <v>5.43333333333333</v>
      </c>
      <c r="D25" s="21" t="n">
        <f aca="false">IF(AND(Headcount!$B$7&gt;0,Funnel!$C7&gt;0),(Headcount!D51/3)*Funnel!$B7/Headcount!$B$7/Funnel!$C7,0)</f>
        <v>4.7</v>
      </c>
      <c r="E25" s="21" t="n">
        <f aca="false">IF(AND(Headcount!$B$7&gt;0,Funnel!$C7&gt;0),(Headcount!E51/3)*Funnel!$B7/Headcount!$B$7/Funnel!$C7,0)</f>
        <v>3.94166666666667</v>
      </c>
    </row>
    <row r="26" customFormat="false" ht="15" hidden="false" customHeight="false" outlineLevel="0" collapsed="false">
      <c r="A26" s="8" t="str">
        <f aca="false">Headcount!$A12</f>
        <v>Sales</v>
      </c>
      <c r="B26" s="21" t="n">
        <f aca="false">IF(AND(Headcount!$B$7&gt;0,Funnel!$C8&gt;0),(Headcount!B52/3)*Funnel!$B8/Headcount!$B$7/Funnel!$C8,0)</f>
        <v>3</v>
      </c>
      <c r="C26" s="21" t="n">
        <f aca="false">IF(AND(Headcount!$B$7&gt;0,Funnel!$C8&gt;0),(Headcount!C52/3)*Funnel!$B8/Headcount!$B$7/Funnel!$C8,0)</f>
        <v>3.075</v>
      </c>
      <c r="D26" s="21" t="n">
        <f aca="false">IF(AND(Headcount!$B$7&gt;0,Funnel!$C8&gt;0),(Headcount!D52/3)*Funnel!$B8/Headcount!$B$7/Funnel!$C8,0)</f>
        <v>2.65</v>
      </c>
      <c r="E26" s="21" t="n">
        <f aca="false">IF(AND(Headcount!$B$7&gt;0,Funnel!$C8&gt;0),(Headcount!E52/3)*Funnel!$B8/Headcount!$B$7/Funnel!$C8,0)</f>
        <v>2.7</v>
      </c>
    </row>
    <row r="27" customFormat="false" ht="15" hidden="false" customHeight="false" outlineLevel="0" collapsed="false">
      <c r="A27" s="8" t="str">
        <f aca="false">Headcount!$A13</f>
        <v>Customer support</v>
      </c>
      <c r="B27" s="21" t="n">
        <f aca="false">IF(AND(Headcount!$B$7&gt;0,Funnel!$C9&gt;0),(Headcount!B53/3)*Funnel!$B9/Headcount!$B$7/Funnel!$C9,0)</f>
        <v>0.847222222222222</v>
      </c>
      <c r="C27" s="21" t="n">
        <f aca="false">IF(AND(Headcount!$B$7&gt;0,Funnel!$C9&gt;0),(Headcount!C53/3)*Funnel!$B9/Headcount!$B$7/Funnel!$C9,0)</f>
        <v>0.861111111111111</v>
      </c>
      <c r="D27" s="21" t="n">
        <f aca="false">IF(AND(Headcount!$B$7&gt;0,Funnel!$C9&gt;0),(Headcount!D53/3)*Funnel!$B9/Headcount!$B$7/Funnel!$C9,0)</f>
        <v>0.875</v>
      </c>
      <c r="E27" s="21" t="n">
        <f aca="false">IF(AND(Headcount!$B$7&gt;0,Funnel!$C9&gt;0),(Headcount!E53/3)*Funnel!$B9/Headcount!$B$7/Funnel!$C9,0)</f>
        <v>0.888888888888889</v>
      </c>
    </row>
    <row r="28" customFormat="false" ht="15" hidden="false" customHeight="false" outlineLevel="0" collapsed="false">
      <c r="A28" s="8" t="str">
        <f aca="false">Headcount!$A14</f>
        <v>Operations</v>
      </c>
      <c r="B28" s="21" t="n">
        <f aca="false">IF(AND(Headcount!$B$7&gt;0,Funnel!$C10&gt;0),(Headcount!B54/3)*Funnel!$B10/Headcount!$B$7/Funnel!$C10,0)</f>
        <v>1.27777777777778</v>
      </c>
      <c r="C28" s="21" t="n">
        <f aca="false">IF(AND(Headcount!$B$7&gt;0,Funnel!$C10&gt;0),(Headcount!C54/3)*Funnel!$B10/Headcount!$B$7/Funnel!$C10,0)</f>
        <v>1.29444444444444</v>
      </c>
      <c r="D28" s="21" t="n">
        <f aca="false">IF(AND(Headcount!$B$7&gt;0,Funnel!$C10&gt;0),(Headcount!D54/3)*Funnel!$B10/Headcount!$B$7/Funnel!$C10,0)</f>
        <v>1.08888888888889</v>
      </c>
      <c r="E28" s="21" t="n">
        <f aca="false">IF(AND(Headcount!$B$7&gt;0,Funnel!$C10&gt;0),(Headcount!E54/3)*Funnel!$B10/Headcount!$B$7/Funnel!$C10,0)</f>
        <v>1.09722222222222</v>
      </c>
    </row>
    <row r="29" customFormat="false" ht="15" hidden="false" customHeight="false" outlineLevel="0" collapsed="false">
      <c r="A29" s="8" t="str">
        <f aca="false">Headcount!$A15</f>
        <v>Corporate functions</v>
      </c>
      <c r="B29" s="21" t="n">
        <f aca="false">IF(AND(Headcount!$B$7&gt;0,Funnel!$C11&gt;0),(Headcount!B55/3)*Funnel!$B11/Headcount!$B$7/Funnel!$C11,0)</f>
        <v>1.375</v>
      </c>
      <c r="C29" s="21" t="n">
        <f aca="false">IF(AND(Headcount!$B$7&gt;0,Funnel!$C11&gt;0),(Headcount!C55/3)*Funnel!$B11/Headcount!$B$7/Funnel!$C11,0)</f>
        <v>1.39027777777778</v>
      </c>
      <c r="D29" s="21" t="n">
        <f aca="false">IF(AND(Headcount!$B$7&gt;0,Funnel!$C11&gt;0),(Headcount!D55/3)*Funnel!$B11/Headcount!$B$7/Funnel!$C11,0)</f>
        <v>1.40555555555556</v>
      </c>
      <c r="E29" s="21" t="n">
        <f aca="false">IF(AND(Headcount!$B$7&gt;0,Funnel!$C11&gt;0),(Headcount!E55/3)*Funnel!$B11/Headcount!$B$7/Funnel!$C11,0)</f>
        <v>0.809722222222222</v>
      </c>
    </row>
    <row r="30" customFormat="false" ht="15" hidden="false" customHeight="false" outlineLevel="0" collapsed="false">
      <c r="A30" s="8" t="str">
        <f aca="false">Headcount!$A16</f>
        <v>Leadership</v>
      </c>
      <c r="B30" s="21" t="n">
        <f aca="false">IF(AND(Headcount!$B$7&gt;0,Funnel!$C12&gt;0),(Headcount!B56/3)*Funnel!$B12/Headcount!$B$7/Funnel!$C12,0)</f>
        <v>1.55555555555556</v>
      </c>
      <c r="C30" s="21" t="n">
        <f aca="false">IF(AND(Headcount!$B$7&gt;0,Funnel!$C12&gt;0),(Headcount!C56/3)*Funnel!$B12/Headcount!$B$7/Funnel!$C12,0)</f>
        <v>0.466666666666667</v>
      </c>
      <c r="D30" s="21" t="n">
        <f aca="false">IF(AND(Headcount!$B$7&gt;0,Funnel!$C12&gt;0),(Headcount!D56/3)*Funnel!$B12/Headcount!$B$7/Funnel!$C12,0)</f>
        <v>1.57777777777778</v>
      </c>
      <c r="E30" s="21" t="n">
        <f aca="false">IF(AND(Headcount!$B$7&gt;0,Funnel!$C12&gt;0),(Headcount!E56/3)*Funnel!$B12/Headcount!$B$7/Funnel!$C12,0)</f>
        <v>0.488888888888889</v>
      </c>
    </row>
    <row r="31" customFormat="false" ht="15" hidden="false" customHeight="false" outlineLevel="0" collapsed="false">
      <c r="A31" s="17" t="s">
        <v>87</v>
      </c>
      <c r="B31" s="22" t="n">
        <f aca="false">SUM(B25:B30)</f>
        <v>13.3888888888889</v>
      </c>
      <c r="C31" s="22" t="n">
        <f aca="false">SUM(C25:C30)</f>
        <v>12.5208333333333</v>
      </c>
      <c r="D31" s="22" t="n">
        <f aca="false">SUM(D25:D30)</f>
        <v>12.2972222222222</v>
      </c>
      <c r="E31" s="22" t="n">
        <f aca="false">SUM(E25:E30)</f>
        <v>9.92638888888889</v>
      </c>
    </row>
    <row r="33" customFormat="false" ht="15" hidden="false" customHeight="false" outlineLevel="0" collapsed="false">
      <c r="A33" s="4" t="s">
        <v>136</v>
      </c>
    </row>
    <row r="34" customFormat="false" ht="18" hidden="false" customHeight="true" outlineLevel="0" collapsed="false">
      <c r="A34" s="15" t="s">
        <v>69</v>
      </c>
      <c r="B34" s="15" t="s">
        <v>82</v>
      </c>
      <c r="C34" s="15" t="s">
        <v>83</v>
      </c>
      <c r="D34" s="15" t="s">
        <v>84</v>
      </c>
      <c r="E34" s="15" t="s">
        <v>85</v>
      </c>
    </row>
    <row r="35" customFormat="false" ht="15" hidden="false" customHeight="false" outlineLevel="0" collapsed="false">
      <c r="A35" s="8" t="str">
        <f aca="false">Headcount!$A11</f>
        <v>Engineering</v>
      </c>
      <c r="B35" s="25" t="n">
        <f aca="false">IF($B16&gt;0,B25/$B16,0)</f>
        <v>0.444444444444444</v>
      </c>
      <c r="C35" s="25" t="n">
        <f aca="false">IF($B16&gt;0,C25/$B16,0)</f>
        <v>0.452777777777778</v>
      </c>
      <c r="D35" s="25" t="n">
        <f aca="false">IF($B16&gt;0,D25/$B16,0)</f>
        <v>0.391666666666667</v>
      </c>
      <c r="E35" s="25" t="n">
        <f aca="false">IF($B16&gt;0,E25/$B16,0)</f>
        <v>0.328472222222222</v>
      </c>
    </row>
    <row r="36" customFormat="false" ht="15" hidden="false" customHeight="false" outlineLevel="0" collapsed="false">
      <c r="A36" s="8" t="str">
        <f aca="false">Headcount!$A12</f>
        <v>Sales</v>
      </c>
      <c r="B36" s="25" t="n">
        <f aca="false">IF($B17&gt;0,B26/$B17,0)</f>
        <v>0.15</v>
      </c>
      <c r="C36" s="25" t="n">
        <f aca="false">IF($B17&gt;0,C26/$B17,0)</f>
        <v>0.15375</v>
      </c>
      <c r="D36" s="25" t="n">
        <f aca="false">IF($B17&gt;0,D26/$B17,0)</f>
        <v>0.1325</v>
      </c>
      <c r="E36" s="25" t="n">
        <f aca="false">IF($B17&gt;0,E26/$B17,0)</f>
        <v>0.135</v>
      </c>
    </row>
    <row r="37" customFormat="false" ht="15" hidden="false" customHeight="false" outlineLevel="0" collapsed="false">
      <c r="A37" s="8" t="str">
        <f aca="false">Headcount!$A13</f>
        <v>Customer support</v>
      </c>
      <c r="B37" s="25" t="n">
        <f aca="false">IF($B18&gt;0,B27/$B18,0)</f>
        <v>0.0282407407407407</v>
      </c>
      <c r="C37" s="25" t="n">
        <f aca="false">IF($B18&gt;0,C27/$B18,0)</f>
        <v>0.0287037037037037</v>
      </c>
      <c r="D37" s="25" t="n">
        <f aca="false">IF($B18&gt;0,D27/$B18,0)</f>
        <v>0.0291666666666667</v>
      </c>
      <c r="E37" s="25" t="n">
        <f aca="false">IF($B18&gt;0,E27/$B18,0)</f>
        <v>0.0296296296296296</v>
      </c>
    </row>
    <row r="38" customFormat="false" ht="15" hidden="false" customHeight="false" outlineLevel="0" collapsed="false">
      <c r="A38" s="8" t="str">
        <f aca="false">Headcount!$A14</f>
        <v>Operations</v>
      </c>
      <c r="B38" s="25" t="n">
        <f aca="false">IF($B19&gt;0,B28/$B19,0)</f>
        <v>0.0511111111111111</v>
      </c>
      <c r="C38" s="25" t="n">
        <f aca="false">IF($B19&gt;0,C28/$B19,0)</f>
        <v>0.0517777777777778</v>
      </c>
      <c r="D38" s="25" t="n">
        <f aca="false">IF($B19&gt;0,D28/$B19,0)</f>
        <v>0.0435555555555556</v>
      </c>
      <c r="E38" s="25" t="n">
        <f aca="false">IF($B19&gt;0,E28/$B19,0)</f>
        <v>0.0438888888888889</v>
      </c>
    </row>
    <row r="39" customFormat="false" ht="15" hidden="false" customHeight="false" outlineLevel="0" collapsed="false">
      <c r="A39" s="8" t="str">
        <f aca="false">Headcount!$A15</f>
        <v>Corporate functions</v>
      </c>
      <c r="B39" s="25" t="n">
        <f aca="false">IF($B20&gt;0,B29/$B20,0)</f>
        <v>0.0916666666666667</v>
      </c>
      <c r="C39" s="25" t="n">
        <f aca="false">IF($B20&gt;0,C29/$B20,0)</f>
        <v>0.0926851851851852</v>
      </c>
      <c r="D39" s="25" t="n">
        <f aca="false">IF($B20&gt;0,D29/$B20,0)</f>
        <v>0.0937037037037037</v>
      </c>
      <c r="E39" s="25" t="n">
        <f aca="false">IF($B20&gt;0,E29/$B20,0)</f>
        <v>0.0539814814814815</v>
      </c>
    </row>
    <row r="40" customFormat="false" ht="15" hidden="false" customHeight="false" outlineLevel="0" collapsed="false">
      <c r="A40" s="8" t="str">
        <f aca="false">Headcount!$A16</f>
        <v>Leadership</v>
      </c>
      <c r="B40" s="25" t="n">
        <f aca="false">IF($B21&gt;0,B30/$B21,0)</f>
        <v>0.259259259259259</v>
      </c>
      <c r="C40" s="25" t="n">
        <f aca="false">IF($B21&gt;0,C30/$B21,0)</f>
        <v>0.0777777777777778</v>
      </c>
      <c r="D40" s="25" t="n">
        <f aca="false">IF($B21&gt;0,D30/$B21,0)</f>
        <v>0.262962962962963</v>
      </c>
      <c r="E40" s="25" t="n">
        <f aca="false">IF($B21&gt;0,E30/$B21,0)</f>
        <v>0.0814814814814815</v>
      </c>
    </row>
    <row r="41" customFormat="false" ht="15" hidden="false" customHeight="false" outlineLevel="0" collapsed="false">
      <c r="A41" s="17" t="s">
        <v>87</v>
      </c>
      <c r="B41" s="26" t="n">
        <f aca="false">SUM(B35:B40)</f>
        <v>1.02472222222222</v>
      </c>
      <c r="C41" s="26" t="n">
        <f aca="false">SUM(C35:C40)</f>
        <v>0.857472222222222</v>
      </c>
      <c r="D41" s="26" t="n">
        <f aca="false">SUM(D35:D40)</f>
        <v>0.953555555555556</v>
      </c>
      <c r="E41" s="26" t="n">
        <f aca="false">SUM(E35:E40)</f>
        <v>0.672453703703704</v>
      </c>
    </row>
    <row r="43" customFormat="false" ht="15" hidden="false" customHeight="false" outlineLevel="0" collapsed="false">
      <c r="A43" s="4" t="s">
        <v>137</v>
      </c>
    </row>
    <row r="44" customFormat="false" ht="18" hidden="false" customHeight="true" outlineLevel="0" collapsed="false">
      <c r="A44" s="15" t="s">
        <v>69</v>
      </c>
      <c r="B44" s="15" t="s">
        <v>82</v>
      </c>
      <c r="C44" s="15" t="s">
        <v>83</v>
      </c>
      <c r="D44" s="15" t="s">
        <v>84</v>
      </c>
      <c r="E44" s="15" t="s">
        <v>85</v>
      </c>
    </row>
    <row r="45" customFormat="false" ht="15" hidden="false" customHeight="false" outlineLevel="0" collapsed="false">
      <c r="A45" s="8" t="str">
        <f aca="false">Headcount!$A11</f>
        <v>Engineering</v>
      </c>
      <c r="B45" s="25" t="n">
        <f aca="false">IF($B$7&gt;0,Headcount!B51*$G16/$B$7,0)</f>
        <v>0.396666666666667</v>
      </c>
      <c r="C45" s="25" t="n">
        <f aca="false">IF($B$7&gt;0,Headcount!C51*$G16/$B$7,0)</f>
        <v>0.404104166666667</v>
      </c>
      <c r="D45" s="25" t="n">
        <f aca="false">IF($B$7&gt;0,Headcount!D51*$G16/$B$7,0)</f>
        <v>0.3495625</v>
      </c>
      <c r="E45" s="25" t="n">
        <f aca="false">IF($B$7&gt;0,Headcount!E51*$G16/$B$7,0)</f>
        <v>0.293161458333333</v>
      </c>
    </row>
    <row r="46" customFormat="false" ht="15" hidden="false" customHeight="false" outlineLevel="0" collapsed="false">
      <c r="A46" s="8" t="str">
        <f aca="false">Headcount!$A12</f>
        <v>Sales</v>
      </c>
      <c r="B46" s="25" t="n">
        <f aca="false">IF($B$7&gt;0,Headcount!B52*$G17/$B$7,0)</f>
        <v>0.244734931009441</v>
      </c>
      <c r="C46" s="25" t="n">
        <f aca="false">IF($B$7&gt;0,Headcount!C52*$G17/$B$7,0)</f>
        <v>0.250853304284677</v>
      </c>
      <c r="D46" s="25" t="n">
        <f aca="false">IF($B$7&gt;0,Headcount!D52*$G17/$B$7,0)</f>
        <v>0.216182522391673</v>
      </c>
      <c r="E46" s="25" t="n">
        <f aca="false">IF($B$7&gt;0,Headcount!E52*$G17/$B$7,0)</f>
        <v>0.220261437908497</v>
      </c>
    </row>
    <row r="47" customFormat="false" ht="15" hidden="false" customHeight="false" outlineLevel="0" collapsed="false">
      <c r="A47" s="8" t="str">
        <f aca="false">Headcount!$A13</f>
        <v>Customer support</v>
      </c>
      <c r="B47" s="25" t="n">
        <f aca="false">IF($B$7&gt;0,Headcount!B53*$G18/$B$7,0)</f>
        <v>0.128974454365079</v>
      </c>
      <c r="C47" s="25" t="n">
        <f aca="false">IF($B$7&gt;0,Headcount!C53*$G18/$B$7,0)</f>
        <v>0.13108878968254</v>
      </c>
      <c r="D47" s="25" t="n">
        <f aca="false">IF($B$7&gt;0,Headcount!D53*$G18/$B$7,0)</f>
        <v>0.133203125</v>
      </c>
      <c r="E47" s="25" t="n">
        <f aca="false">IF($B$7&gt;0,Headcount!E53*$G18/$B$7,0)</f>
        <v>0.13531746031746</v>
      </c>
    </row>
    <row r="48" customFormat="false" ht="15" hidden="false" customHeight="false" outlineLevel="0" collapsed="false">
      <c r="A48" s="8" t="str">
        <f aca="false">Headcount!$A14</f>
        <v>Operations</v>
      </c>
      <c r="B48" s="25" t="n">
        <f aca="false">IF($B$7&gt;0,Headcount!B54*$G19/$B$7,0)</f>
        <v>0.119031084656085</v>
      </c>
      <c r="C48" s="25" t="n">
        <f aca="false">IF($B$7&gt;0,Headcount!C54*$G19/$B$7,0)</f>
        <v>0.120583664021164</v>
      </c>
      <c r="D48" s="25" t="n">
        <f aca="false">IF($B$7&gt;0,Headcount!D54*$G19/$B$7,0)</f>
        <v>0.101435185185185</v>
      </c>
      <c r="E48" s="25" t="n">
        <f aca="false">IF($B$7&gt;0,Headcount!E54*$G19/$B$7,0)</f>
        <v>0.102211474867725</v>
      </c>
    </row>
    <row r="49" customFormat="false" ht="15" hidden="false" customHeight="false" outlineLevel="0" collapsed="false">
      <c r="A49" s="8" t="str">
        <f aca="false">Headcount!$A15</f>
        <v>Corporate functions</v>
      </c>
      <c r="B49" s="25" t="n">
        <f aca="false">IF($B$7&gt;0,Headcount!B55*$G20/$B$7,0)</f>
        <v>0.117279411764706</v>
      </c>
      <c r="C49" s="25" t="n">
        <f aca="false">IF($B$7&gt;0,Headcount!C55*$G20/$B$7,0)</f>
        <v>0.118582516339869</v>
      </c>
      <c r="D49" s="25" t="n">
        <f aca="false">IF($B$7&gt;0,Headcount!D55*$G20/$B$7,0)</f>
        <v>0.119885620915033</v>
      </c>
      <c r="E49" s="25" t="n">
        <f aca="false">IF($B$7&gt;0,Headcount!E55*$G20/$B$7,0)</f>
        <v>0.0690645424836602</v>
      </c>
    </row>
    <row r="50" customFormat="false" ht="15" hidden="false" customHeight="false" outlineLevel="0" collapsed="false">
      <c r="A50" s="8" t="str">
        <f aca="false">Headcount!$A16</f>
        <v>Leadership</v>
      </c>
      <c r="B50" s="25" t="n">
        <f aca="false">IF($B$7&gt;0,Headcount!B56*$G21/$B$7,0)</f>
        <v>0.164</v>
      </c>
      <c r="C50" s="25" t="n">
        <f aca="false">IF($B$7&gt;0,Headcount!C56*$G21/$B$7,0)</f>
        <v>0.0492</v>
      </c>
      <c r="D50" s="25" t="n">
        <f aca="false">IF($B$7&gt;0,Headcount!D56*$G21/$B$7,0)</f>
        <v>0.166342857142857</v>
      </c>
      <c r="E50" s="25" t="n">
        <f aca="false">IF($B$7&gt;0,Headcount!E56*$G21/$B$7,0)</f>
        <v>0.0515428571428572</v>
      </c>
    </row>
    <row r="51" customFormat="false" ht="15" hidden="false" customHeight="false" outlineLevel="0" collapsed="false">
      <c r="A51" s="17" t="s">
        <v>87</v>
      </c>
      <c r="B51" s="26" t="n">
        <f aca="false">SUM(B45:B50)</f>
        <v>1.17068654846198</v>
      </c>
      <c r="C51" s="26" t="n">
        <f aca="false">SUM(C45:C50)</f>
        <v>1.07441244099492</v>
      </c>
      <c r="D51" s="26" t="n">
        <f aca="false">SUM(D45:D50)</f>
        <v>1.08661181063475</v>
      </c>
      <c r="E51" s="26" t="n">
        <f aca="false">SUM(E45:E50)</f>
        <v>0.871559231053533</v>
      </c>
    </row>
    <row r="53" customFormat="false" ht="15" hidden="false" customHeight="false" outlineLevel="0" collapsed="false">
      <c r="A53" s="4" t="s">
        <v>138</v>
      </c>
    </row>
    <row r="54" customFormat="false" ht="15" hidden="false" customHeight="false" outlineLevel="0" collapsed="false">
      <c r="A54" s="15" t="s">
        <v>139</v>
      </c>
      <c r="B54" s="15" t="s">
        <v>82</v>
      </c>
      <c r="C54" s="15" t="s">
        <v>83</v>
      </c>
      <c r="D54" s="15" t="s">
        <v>84</v>
      </c>
      <c r="E54" s="15" t="s">
        <v>85</v>
      </c>
      <c r="F54" s="15" t="s">
        <v>86</v>
      </c>
    </row>
    <row r="55" customFormat="false" ht="15" hidden="false" customHeight="false" outlineLevel="0" collapsed="false">
      <c r="A55" s="8" t="s">
        <v>140</v>
      </c>
      <c r="B55" s="21" t="n">
        <f aca="false">$B$5+B12</f>
        <v>1</v>
      </c>
      <c r="C55" s="21" t="n">
        <f aca="false">B55+C12</f>
        <v>2</v>
      </c>
      <c r="D55" s="21" t="n">
        <f aca="false">C55+D12</f>
        <v>2</v>
      </c>
      <c r="E55" s="21" t="n">
        <f aca="false">D55+E12</f>
        <v>2</v>
      </c>
      <c r="F55" s="8"/>
    </row>
    <row r="56" customFormat="false" ht="15" hidden="false" customHeight="false" outlineLevel="0" collapsed="false">
      <c r="A56" s="8" t="s">
        <v>141</v>
      </c>
      <c r="B56" s="25" t="n">
        <f aca="false">B55*$B$6</f>
        <v>0.85</v>
      </c>
      <c r="C56" s="25" t="n">
        <f aca="false">C55*$B$6</f>
        <v>1.7</v>
      </c>
      <c r="D56" s="25" t="n">
        <f aca="false">D55*$B$6</f>
        <v>1.7</v>
      </c>
      <c r="E56" s="25" t="n">
        <f aca="false">E55*$B$6</f>
        <v>1.7</v>
      </c>
      <c r="F56" s="8"/>
    </row>
    <row r="57" customFormat="false" ht="15" hidden="false" customHeight="false" outlineLevel="0" collapsed="false">
      <c r="A57" s="8" t="s">
        <v>142</v>
      </c>
      <c r="B57" s="25" t="n">
        <f aca="false">B41</f>
        <v>1.02472222222222</v>
      </c>
      <c r="C57" s="25" t="n">
        <f aca="false">C41</f>
        <v>0.857472222222222</v>
      </c>
      <c r="D57" s="25" t="n">
        <f aca="false">D41</f>
        <v>0.953555555555556</v>
      </c>
      <c r="E57" s="25" t="n">
        <f aca="false">E41</f>
        <v>0.672453703703704</v>
      </c>
      <c r="F57" s="8"/>
    </row>
    <row r="58" customFormat="false" ht="15" hidden="false" customHeight="false" outlineLevel="0" collapsed="false">
      <c r="A58" s="8" t="s">
        <v>143</v>
      </c>
      <c r="B58" s="25" t="n">
        <f aca="false">B51</f>
        <v>1.17068654846198</v>
      </c>
      <c r="C58" s="25" t="n">
        <f aca="false">C51</f>
        <v>1.07441244099492</v>
      </c>
      <c r="D58" s="25" t="n">
        <f aca="false">D51</f>
        <v>1.08661181063475</v>
      </c>
      <c r="E58" s="25" t="n">
        <f aca="false">E51</f>
        <v>0.871559231053533</v>
      </c>
      <c r="F58" s="8"/>
    </row>
    <row r="59" customFormat="false" ht="15" hidden="false" customHeight="false" outlineLevel="0" collapsed="false">
      <c r="A59" s="8" t="s">
        <v>144</v>
      </c>
      <c r="B59" s="25" t="n">
        <f aca="false">IF($B$9="Requisitions",B57,IF($B$9="Funnel hours",B58,MAX(B57,B58)))</f>
        <v>1.17068654846198</v>
      </c>
      <c r="C59" s="25" t="n">
        <f aca="false">IF($B$9="Requisitions",C57,IF($B$9="Funnel hours",C58,MAX(C57,C58)))</f>
        <v>1.07441244099492</v>
      </c>
      <c r="D59" s="25" t="n">
        <f aca="false">IF($B$9="Requisitions",D57,IF($B$9="Funnel hours",D58,MAX(D57,D58)))</f>
        <v>1.08661181063475</v>
      </c>
      <c r="E59" s="25" t="n">
        <f aca="false">IF($B$9="Requisitions",E57,IF($B$9="Funnel hours",E58,MAX(E57,E58)))</f>
        <v>0.871559231053533</v>
      </c>
      <c r="F59" s="8"/>
    </row>
    <row r="60" customFormat="false" ht="15" hidden="false" customHeight="false" outlineLevel="0" collapsed="false">
      <c r="A60" s="8" t="s">
        <v>145</v>
      </c>
      <c r="B60" s="25" t="n">
        <f aca="false">B59-B56</f>
        <v>0.320686548461978</v>
      </c>
      <c r="C60" s="25" t="n">
        <f aca="false">C59-C56</f>
        <v>-0.625587559005084</v>
      </c>
      <c r="D60" s="25" t="n">
        <f aca="false">D59-D56</f>
        <v>-0.613388189365252</v>
      </c>
      <c r="E60" s="25" t="n">
        <f aca="false">E59-E56</f>
        <v>-0.828440768946468</v>
      </c>
      <c r="F60" s="8"/>
    </row>
    <row r="61" customFormat="false" ht="15" hidden="false" customHeight="false" outlineLevel="0" collapsed="false">
      <c r="A61" s="8" t="s">
        <v>146</v>
      </c>
      <c r="B61" s="29" t="n">
        <f aca="false">IF(B56&gt;0,B59/B56,"n/a")</f>
        <v>1.37727829230821</v>
      </c>
      <c r="C61" s="29" t="n">
        <f aca="false">IF(C56&gt;0,C59/C56,"n/a")</f>
        <v>0.632007318232304</v>
      </c>
      <c r="D61" s="29" t="n">
        <f aca="false">IF(D56&gt;0,D59/D56,"n/a")</f>
        <v>0.63918341802044</v>
      </c>
      <c r="E61" s="29" t="n">
        <f aca="false">IF(E56&gt;0,E59/E56,"n/a")</f>
        <v>0.512681900619725</v>
      </c>
      <c r="F61" s="8"/>
    </row>
    <row r="62" customFormat="false" ht="15" hidden="false" customHeight="false" outlineLevel="0" collapsed="false">
      <c r="A62" s="8" t="s">
        <v>147</v>
      </c>
      <c r="B62" s="30" t="str">
        <f aca="false">IF(B60&gt;0.005,"Short","OK")</f>
        <v>Short</v>
      </c>
      <c r="C62" s="30" t="str">
        <f aca="false">IF(C60&gt;0.005,"Short","OK")</f>
        <v>OK</v>
      </c>
      <c r="D62" s="30" t="str">
        <f aca="false">IF(D60&gt;0.005,"Short","OK")</f>
        <v>OK</v>
      </c>
      <c r="E62" s="30" t="str">
        <f aca="false">IF(E60&gt;0.005,"Short","OK")</f>
        <v>OK</v>
      </c>
      <c r="F62" s="31" t="n">
        <f aca="false">IF(SUMPRODUCT(--ISERROR(B62:E62))&gt;0,"Check inputs",COUNTIF(B62:E62,"Short"))</f>
        <v>1</v>
      </c>
    </row>
    <row r="63" customFormat="false" ht="15" hidden="false" customHeight="false" outlineLevel="0" collapsed="false">
      <c r="A63" s="8" t="str">
        <f aca="false">"Recruiter cost ("&amp;Headcount!$B$6&amp;")"</f>
        <v>Recruiter cost (USD)</v>
      </c>
      <c r="B63" s="20" t="n">
        <f aca="false">B55*$B$8/4</f>
        <v>20000</v>
      </c>
      <c r="C63" s="20" t="n">
        <f aca="false">C55*$B$8/4</f>
        <v>40000</v>
      </c>
      <c r="D63" s="20" t="n">
        <f aca="false">D55*$B$8/4</f>
        <v>40000</v>
      </c>
      <c r="E63" s="20" t="n">
        <f aca="false">E55*$B$8/4</f>
        <v>40000</v>
      </c>
      <c r="F63" s="20" t="n">
        <f aca="false">SUM(B63:E63)</f>
        <v>140000</v>
      </c>
    </row>
  </sheetData>
  <conditionalFormatting sqref="B62:E62">
    <cfRule type="cellIs" priority="2" operator="equal" aboveAverage="0" equalAverage="0" bottom="0" percent="0" rank="0" text="" dxfId="0">
      <formula>"OK"</formula>
    </cfRule>
    <cfRule type="cellIs" priority="3" operator="equal" aboveAverage="0" equalAverage="0" bottom="0" percent="0" rank="0" text="" dxfId="1">
      <formula>"CHECK"</formula>
    </cfRule>
    <cfRule type="cellIs" priority="4" operator="equal" aboveAverage="0" equalAverage="0" bottom="0" percent="0" rank="0" text="" dxfId="2">
      <formula>"REVIEW"</formula>
    </cfRule>
    <cfRule type="cellIs" priority="5" operator="equal" aboveAverage="0" equalAverage="0" bottom="0" percent="0" rank="0" text="" dxfId="2">
      <formula>"Short"</formula>
    </cfRule>
    <cfRule type="cellIs" priority="6" operator="equal" aboveAverage="0" equalAverage="0" bottom="0" percent="0" rank="0" text="" dxfId="2">
      <formula>"Over budget"</formula>
    </cfRule>
    <cfRule type="cellIs" priority="7" operator="equal" aboveAverage="0" equalAverage="0" bottom="0" percent="0" rank="0" text="" dxfId="0">
      <formula>"Within budget"</formula>
    </cfRule>
  </conditionalFormatting>
  <dataValidations count="7">
    <dataValidation allowBlank="false" error="Pick a method from the list." errorStyle="stop" errorTitle="Capacity method" operator="between" showDropDown="false" showErrorMessage="true" showInputMessage="false" sqref="B9" type="list">
      <formula1>"Requisitions,Funnel hours,Higher of the two"</formula1>
      <formula2>0</formula2>
    </dataValidation>
    <dataValidation allowBlank="true" error="Enter zero or a positive number." errorStyle="stop" errorTitle="Recruiters" operator="greaterThanOrEqual" showDropDown="false" showErrorMessage="true" showInputMessage="false" sqref="B5" type="decimal">
      <formula1>0</formula1>
      <formula2>0</formula2>
    </dataValidation>
    <dataValidation allowBlank="true" error="Enter a share between 0% and 100%." errorStyle="stop" errorTitle="Share of time" operator="between" showDropDown="false" showErrorMessage="true" showInputMessage="false" sqref="B6" type="decimal">
      <formula1>0</formula1>
      <formula2>1</formula2>
    </dataValidation>
    <dataValidation allowBlank="true" error="Enter zero or a positive number." errorStyle="stop" errorTitle="Hours" operator="greaterThanOrEqual" showDropDown="false" showErrorMessage="true" showInputMessage="false" sqref="B7" type="decimal">
      <formula1>0</formula1>
      <formula2>0</formula2>
    </dataValidation>
    <dataValidation allowBlank="true" error="Enter zero or a positive number." errorStyle="stop" errorTitle="Cost" operator="greaterThanOrEqual" showDropDown="false" showErrorMessage="true" showInputMessage="false" sqref="B8" type="decimal">
      <formula1>0</formula1>
      <formula2>0</formula2>
    </dataValidation>
    <dataValidation allowBlank="true" error="Enter zero or a positive number." errorStyle="stop" errorTitle="Recruiters added" operator="greaterThanOrEqual" showDropDown="false" showErrorMessage="true" showInputMessage="false" sqref="B12:E12" type="decimal">
      <formula1>0</formula1>
      <formula2>0</formula2>
    </dataValidation>
    <dataValidation allowBlank="true" error="Enter zero or a positive number." errorStyle="stop" errorTitle="Load input" operator="greaterThanOrEqual" showDropDown="false" showErrorMessage="true" showInputMessage="false" sqref="B16:F21" type="decimal">
      <formula1>0</formula1>
      <formula2>0</formula2>
    </dataValidation>
  </dataValidations>
  <printOptions headings="false" gridLines="false" gridLinesSet="true" horizontalCentered="true" verticalCentered="false"/>
  <pageMargins left="0.5" right="0.5" top="0.6" bottom="0.8" header="0.511811023622047" footer="0.3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18"/>
    <col collapsed="false" customWidth="true" hidden="false" outlineLevel="0" max="4" min="3" style="0" width="20"/>
    <col collapsed="false" customWidth="true" hidden="false" outlineLevel="0" max="6" min="5" style="0" width="16"/>
    <col collapsed="false" customWidth="true" hidden="false" outlineLevel="0" max="7" min="7" style="0" width="14"/>
    <col collapsed="false" customWidth="true" hidden="false" outlineLevel="0" max="9" min="8" style="0" width="16"/>
    <col collapsed="false" customWidth="true" hidden="false" outlineLevel="0" max="11" min="10" style="0" width="18"/>
    <col collapsed="false" customWidth="true" hidden="false" outlineLevel="0" max="12" min="12" style="0" width="16"/>
  </cols>
  <sheetData>
    <row r="1" customFormat="false" ht="19.7" hidden="false" customHeight="false" outlineLevel="0" collapsed="false">
      <c r="A1" s="1" t="s">
        <v>148</v>
      </c>
    </row>
    <row r="2" customFormat="false" ht="15" hidden="false" customHeight="false" outlineLevel="0" collapsed="false">
      <c r="A2" s="12" t="s">
        <v>149</v>
      </c>
    </row>
    <row r="4" customFormat="false" ht="15" hidden="false" customHeight="false" outlineLevel="0" collapsed="false">
      <c r="A4" s="4" t="s">
        <v>150</v>
      </c>
    </row>
    <row r="5" customFormat="false" ht="61.5" hidden="false" customHeight="true" outlineLevel="0" collapsed="false">
      <c r="A5" s="15" t="s">
        <v>69</v>
      </c>
      <c r="B5" s="15" t="str">
        <f aca="false">"Average first-year base salary ("&amp;Headcount!$B$6&amp;")"</f>
        <v>Average first-year base salary (USD)</v>
      </c>
      <c r="C5" s="15" t="s">
        <v>151</v>
      </c>
      <c r="D5" s="15" t="s">
        <v>152</v>
      </c>
      <c r="E5" s="15" t="s">
        <v>153</v>
      </c>
      <c r="F5" s="15" t="s">
        <v>154</v>
      </c>
      <c r="G5" s="15" t="s">
        <v>155</v>
      </c>
      <c r="H5" s="15" t="s">
        <v>156</v>
      </c>
      <c r="I5" s="15" t="str">
        <f aca="false">"Agency fee per agency hire ("&amp;Headcount!$B$6&amp;")"</f>
        <v>Agency fee per agency hire (USD)</v>
      </c>
      <c r="J5" s="15" t="str">
        <f aca="false">"Job board and ad spend per board hire ("&amp;Headcount!$B$6&amp;")"</f>
        <v>Job board and ad spend per board hire (USD)</v>
      </c>
      <c r="K5" s="15" t="str">
        <f aca="false">"Referral bonus per referral hire ("&amp;Headcount!$B$6&amp;")"</f>
        <v>Referral bonus per referral hire (USD)</v>
      </c>
      <c r="L5" s="15" t="str">
        <f aca="false">"Other cost per direct hire ("&amp;Headcount!$B$6&amp;")"</f>
        <v>Other cost per direct hire (USD)</v>
      </c>
    </row>
    <row r="6" customFormat="false" ht="15" hidden="false" customHeight="false" outlineLevel="0" collapsed="false">
      <c r="A6" s="8" t="str">
        <f aca="false">Headcount!$A11</f>
        <v>Engineering</v>
      </c>
      <c r="B6" s="14" t="n">
        <v>120000</v>
      </c>
      <c r="C6" s="16" t="n">
        <v>0.25</v>
      </c>
      <c r="D6" s="16" t="n">
        <v>0.25</v>
      </c>
      <c r="E6" s="16" t="n">
        <v>0.3</v>
      </c>
      <c r="F6" s="16" t="n">
        <v>0.2</v>
      </c>
      <c r="G6" s="32" t="n">
        <f aca="false">SUM(C6:F6)</f>
        <v>1</v>
      </c>
      <c r="H6" s="16" t="n">
        <v>0.2</v>
      </c>
      <c r="I6" s="20" t="n">
        <f aca="false">B6*H6</f>
        <v>24000</v>
      </c>
      <c r="J6" s="14" t="n">
        <v>1800</v>
      </c>
      <c r="K6" s="14" t="n">
        <v>3000</v>
      </c>
      <c r="L6" s="14" t="n">
        <v>600</v>
      </c>
    </row>
    <row r="7" customFormat="false" ht="15" hidden="false" customHeight="false" outlineLevel="0" collapsed="false">
      <c r="A7" s="8" t="str">
        <f aca="false">Headcount!$A12</f>
        <v>Sales</v>
      </c>
      <c r="B7" s="14" t="n">
        <v>70000</v>
      </c>
      <c r="C7" s="16" t="n">
        <v>0.1</v>
      </c>
      <c r="D7" s="16" t="n">
        <v>0.5</v>
      </c>
      <c r="E7" s="16" t="n">
        <v>0.2</v>
      </c>
      <c r="F7" s="16" t="n">
        <v>0.2</v>
      </c>
      <c r="G7" s="32" t="n">
        <f aca="false">SUM(C7:F7)</f>
        <v>1</v>
      </c>
      <c r="H7" s="16" t="n">
        <v>0.18</v>
      </c>
      <c r="I7" s="20" t="n">
        <f aca="false">B7*H7</f>
        <v>12600</v>
      </c>
      <c r="J7" s="14" t="n">
        <v>1200</v>
      </c>
      <c r="K7" s="14" t="n">
        <v>1500</v>
      </c>
      <c r="L7" s="14" t="n">
        <v>400</v>
      </c>
    </row>
    <row r="8" customFormat="false" ht="15" hidden="false" customHeight="false" outlineLevel="0" collapsed="false">
      <c r="A8" s="8" t="str">
        <f aca="false">Headcount!$A13</f>
        <v>Customer support</v>
      </c>
      <c r="B8" s="14" t="n">
        <v>45000</v>
      </c>
      <c r="C8" s="16" t="n">
        <v>0</v>
      </c>
      <c r="D8" s="16" t="n">
        <v>0.6</v>
      </c>
      <c r="E8" s="16" t="n">
        <v>0.25</v>
      </c>
      <c r="F8" s="16" t="n">
        <v>0.15</v>
      </c>
      <c r="G8" s="32" t="n">
        <f aca="false">SUM(C8:F8)</f>
        <v>1</v>
      </c>
      <c r="H8" s="16" t="n">
        <v>0.15</v>
      </c>
      <c r="I8" s="20" t="n">
        <f aca="false">B8*H8</f>
        <v>6750</v>
      </c>
      <c r="J8" s="14" t="n">
        <v>600</v>
      </c>
      <c r="K8" s="14" t="n">
        <v>1000</v>
      </c>
      <c r="L8" s="14" t="n">
        <v>250</v>
      </c>
    </row>
    <row r="9" customFormat="false" ht="15" hidden="false" customHeight="false" outlineLevel="0" collapsed="false">
      <c r="A9" s="8" t="str">
        <f aca="false">Headcount!$A14</f>
        <v>Operations</v>
      </c>
      <c r="B9" s="14" t="n">
        <v>52000</v>
      </c>
      <c r="C9" s="16" t="n">
        <v>0.05</v>
      </c>
      <c r="D9" s="16" t="n">
        <v>0.55</v>
      </c>
      <c r="E9" s="16" t="n">
        <v>0.25</v>
      </c>
      <c r="F9" s="16" t="n">
        <v>0.15</v>
      </c>
      <c r="G9" s="32" t="n">
        <f aca="false">SUM(C9:F9)</f>
        <v>1</v>
      </c>
      <c r="H9" s="16" t="n">
        <v>0.15</v>
      </c>
      <c r="I9" s="20" t="n">
        <f aca="false">B9*H9</f>
        <v>7800</v>
      </c>
      <c r="J9" s="14" t="n">
        <v>800</v>
      </c>
      <c r="K9" s="14" t="n">
        <v>1000</v>
      </c>
      <c r="L9" s="14" t="n">
        <v>300</v>
      </c>
    </row>
    <row r="10" customFormat="false" ht="15" hidden="false" customHeight="false" outlineLevel="0" collapsed="false">
      <c r="A10" s="8" t="str">
        <f aca="false">Headcount!$A15</f>
        <v>Corporate functions</v>
      </c>
      <c r="B10" s="14" t="n">
        <v>85000</v>
      </c>
      <c r="C10" s="16" t="n">
        <v>0.25</v>
      </c>
      <c r="D10" s="16" t="n">
        <v>0.35</v>
      </c>
      <c r="E10" s="16" t="n">
        <v>0.2</v>
      </c>
      <c r="F10" s="16" t="n">
        <v>0.2</v>
      </c>
      <c r="G10" s="32" t="n">
        <f aca="false">SUM(C10:F10)</f>
        <v>1</v>
      </c>
      <c r="H10" s="16" t="n">
        <v>0.2</v>
      </c>
      <c r="I10" s="20" t="n">
        <f aca="false">B10*H10</f>
        <v>17000</v>
      </c>
      <c r="J10" s="14" t="n">
        <v>1200</v>
      </c>
      <c r="K10" s="14" t="n">
        <v>2000</v>
      </c>
      <c r="L10" s="14" t="n">
        <v>500</v>
      </c>
    </row>
    <row r="11" customFormat="false" ht="15" hidden="false" customHeight="false" outlineLevel="0" collapsed="false">
      <c r="A11" s="8" t="str">
        <f aca="false">Headcount!$A16</f>
        <v>Leadership</v>
      </c>
      <c r="B11" s="14" t="n">
        <v>190000</v>
      </c>
      <c r="C11" s="16" t="n">
        <v>0.7</v>
      </c>
      <c r="D11" s="16" t="n">
        <v>0.05</v>
      </c>
      <c r="E11" s="16" t="n">
        <v>0.15</v>
      </c>
      <c r="F11" s="16" t="n">
        <v>0.1</v>
      </c>
      <c r="G11" s="32" t="n">
        <f aca="false">SUM(C11:F11)</f>
        <v>1</v>
      </c>
      <c r="H11" s="16" t="n">
        <v>0.25</v>
      </c>
      <c r="I11" s="20" t="n">
        <f aca="false">B11*H11</f>
        <v>47500</v>
      </c>
      <c r="J11" s="14" t="n">
        <v>2000</v>
      </c>
      <c r="K11" s="14" t="n">
        <v>5000</v>
      </c>
      <c r="L11" s="14" t="n">
        <v>1000</v>
      </c>
    </row>
    <row r="14" customFormat="false" ht="15" hidden="false" customHeight="false" outlineLevel="0" collapsed="false">
      <c r="A14" s="4" t="s">
        <v>157</v>
      </c>
    </row>
    <row r="15" customFormat="false" ht="31.5" hidden="false" customHeight="true" outlineLevel="0" collapsed="false">
      <c r="A15" s="15" t="s">
        <v>69</v>
      </c>
      <c r="B15" s="15" t="s">
        <v>44</v>
      </c>
      <c r="C15" s="15" t="s">
        <v>158</v>
      </c>
      <c r="D15" s="15" t="s">
        <v>159</v>
      </c>
      <c r="E15" s="15" t="s">
        <v>160</v>
      </c>
      <c r="F15" s="15" t="s">
        <v>161</v>
      </c>
      <c r="G15" s="15" t="s">
        <v>87</v>
      </c>
    </row>
    <row r="16" customFormat="false" ht="15" hidden="false" customHeight="false" outlineLevel="0" collapsed="false">
      <c r="A16" s="8" t="str">
        <f aca="false">A6</f>
        <v>Engineering</v>
      </c>
      <c r="B16" s="21" t="n">
        <f aca="false">Headcount!F51</f>
        <v>23.29</v>
      </c>
      <c r="C16" s="21" t="n">
        <f aca="false">$B16*C6</f>
        <v>5.8225</v>
      </c>
      <c r="D16" s="21" t="n">
        <f aca="false">$B16*D6</f>
        <v>5.8225</v>
      </c>
      <c r="E16" s="21" t="n">
        <f aca="false">$B16*E6</f>
        <v>6.987</v>
      </c>
      <c r="F16" s="21" t="n">
        <f aca="false">$B16*F6</f>
        <v>4.658</v>
      </c>
      <c r="G16" s="21" t="n">
        <f aca="false">SUM(C16:F16)</f>
        <v>23.29</v>
      </c>
    </row>
    <row r="17" customFormat="false" ht="15" hidden="false" customHeight="false" outlineLevel="0" collapsed="false">
      <c r="A17" s="8" t="str">
        <f aca="false">A7</f>
        <v>Sales</v>
      </c>
      <c r="B17" s="21" t="n">
        <f aca="false">Headcount!F52</f>
        <v>22.85</v>
      </c>
      <c r="C17" s="21" t="n">
        <f aca="false">$B17*C7</f>
        <v>2.285</v>
      </c>
      <c r="D17" s="21" t="n">
        <f aca="false">$B17*D7</f>
        <v>11.425</v>
      </c>
      <c r="E17" s="21" t="n">
        <f aca="false">$B17*E7</f>
        <v>4.57</v>
      </c>
      <c r="F17" s="21" t="n">
        <f aca="false">$B17*F7</f>
        <v>4.57</v>
      </c>
      <c r="G17" s="21" t="n">
        <f aca="false">SUM(C17:F17)</f>
        <v>22.85</v>
      </c>
    </row>
    <row r="18" customFormat="false" ht="15" hidden="false" customHeight="false" outlineLevel="0" collapsed="false">
      <c r="A18" s="8" t="str">
        <f aca="false">A8</f>
        <v>Customer support</v>
      </c>
      <c r="B18" s="21" t="n">
        <f aca="false">Headcount!F53</f>
        <v>31.25</v>
      </c>
      <c r="C18" s="21" t="n">
        <f aca="false">$B18*C8</f>
        <v>0</v>
      </c>
      <c r="D18" s="21" t="n">
        <f aca="false">$B18*D8</f>
        <v>18.75</v>
      </c>
      <c r="E18" s="21" t="n">
        <f aca="false">$B18*E8</f>
        <v>7.8125</v>
      </c>
      <c r="F18" s="21" t="n">
        <f aca="false">$B18*F8</f>
        <v>4.6875</v>
      </c>
      <c r="G18" s="21" t="n">
        <f aca="false">SUM(C18:F18)</f>
        <v>31.25</v>
      </c>
    </row>
    <row r="19" customFormat="false" ht="15" hidden="false" customHeight="false" outlineLevel="0" collapsed="false">
      <c r="A19" s="8" t="str">
        <f aca="false">A9</f>
        <v>Operations</v>
      </c>
      <c r="B19" s="21" t="n">
        <f aca="false">Headcount!F54</f>
        <v>21.4125</v>
      </c>
      <c r="C19" s="21" t="n">
        <f aca="false">$B19*C9</f>
        <v>1.070625</v>
      </c>
      <c r="D19" s="21" t="n">
        <f aca="false">$B19*D9</f>
        <v>11.776875</v>
      </c>
      <c r="E19" s="21" t="n">
        <f aca="false">$B19*E9</f>
        <v>5.353125</v>
      </c>
      <c r="F19" s="21" t="n">
        <f aca="false">$B19*F9</f>
        <v>3.211875</v>
      </c>
      <c r="G19" s="21" t="n">
        <f aca="false">SUM(C19:F19)</f>
        <v>21.4125</v>
      </c>
    </row>
    <row r="20" customFormat="false" ht="15" hidden="false" customHeight="false" outlineLevel="0" collapsed="false">
      <c r="A20" s="8" t="str">
        <f aca="false">A10</f>
        <v>Corporate functions</v>
      </c>
      <c r="B20" s="21" t="n">
        <f aca="false">Headcount!F55</f>
        <v>8.15</v>
      </c>
      <c r="C20" s="21" t="n">
        <f aca="false">$B20*C10</f>
        <v>2.0375</v>
      </c>
      <c r="D20" s="21" t="n">
        <f aca="false">$B20*D10</f>
        <v>2.8525</v>
      </c>
      <c r="E20" s="21" t="n">
        <f aca="false">$B20*E10</f>
        <v>1.63</v>
      </c>
      <c r="F20" s="21" t="n">
        <f aca="false">$B20*F10</f>
        <v>1.63</v>
      </c>
      <c r="G20" s="21" t="n">
        <f aca="false">SUM(C20:F20)</f>
        <v>8.15</v>
      </c>
    </row>
    <row r="21" customFormat="false" ht="15" hidden="false" customHeight="false" outlineLevel="0" collapsed="false">
      <c r="A21" s="8" t="str">
        <f aca="false">A11</f>
        <v>Leadership</v>
      </c>
      <c r="B21" s="21" t="n">
        <f aca="false">Headcount!F56</f>
        <v>3.68</v>
      </c>
      <c r="C21" s="21" t="n">
        <f aca="false">$B21*C11</f>
        <v>2.576</v>
      </c>
      <c r="D21" s="21" t="n">
        <f aca="false">$B21*D11</f>
        <v>0.184</v>
      </c>
      <c r="E21" s="21" t="n">
        <f aca="false">$B21*E11</f>
        <v>0.552</v>
      </c>
      <c r="F21" s="21" t="n">
        <f aca="false">$B21*F11</f>
        <v>0.368</v>
      </c>
      <c r="G21" s="21" t="n">
        <f aca="false">SUM(C21:F21)</f>
        <v>3.68</v>
      </c>
    </row>
    <row r="22" customFormat="false" ht="15" hidden="false" customHeight="false" outlineLevel="0" collapsed="false">
      <c r="A22" s="17" t="s">
        <v>87</v>
      </c>
      <c r="B22" s="22" t="n">
        <f aca="false">SUM(B16:B21)</f>
        <v>110.6325</v>
      </c>
      <c r="C22" s="22" t="n">
        <f aca="false">SUM(C16:C21)</f>
        <v>13.791625</v>
      </c>
      <c r="D22" s="22" t="n">
        <f aca="false">SUM(D16:D21)</f>
        <v>50.810875</v>
      </c>
      <c r="E22" s="22" t="n">
        <f aca="false">SUM(E16:E21)</f>
        <v>26.904625</v>
      </c>
      <c r="F22" s="22" t="n">
        <f aca="false">SUM(F16:F21)</f>
        <v>19.125375</v>
      </c>
      <c r="G22" s="22" t="n">
        <f aca="false">SUM(G16:G21)</f>
        <v>110.6325</v>
      </c>
    </row>
    <row r="24" customFormat="false" ht="15" hidden="false" customHeight="false" outlineLevel="0" collapsed="false">
      <c r="A24" s="4" t="str">
        <f aca="false">"3. Variable channel cost, 2027, by role family ("&amp;Headcount!$B$6&amp;")"</f>
        <v>3. Variable channel cost, 2027, by role family (USD)</v>
      </c>
    </row>
    <row r="25" customFormat="false" ht="31.5" hidden="false" customHeight="true" outlineLevel="0" collapsed="false">
      <c r="A25" s="15" t="s">
        <v>69</v>
      </c>
      <c r="B25" s="15" t="s">
        <v>162</v>
      </c>
      <c r="C25" s="15" t="s">
        <v>159</v>
      </c>
      <c r="D25" s="15" t="s">
        <v>163</v>
      </c>
      <c r="E25" s="15" t="s">
        <v>161</v>
      </c>
      <c r="F25" s="15" t="s">
        <v>87</v>
      </c>
      <c r="G25" s="15" t="s">
        <v>164</v>
      </c>
    </row>
    <row r="26" customFormat="false" ht="15" hidden="false" customHeight="false" outlineLevel="0" collapsed="false">
      <c r="A26" s="8" t="str">
        <f aca="false">A6</f>
        <v>Engineering</v>
      </c>
      <c r="B26" s="20" t="n">
        <f aca="false">C16*$I6</f>
        <v>139740</v>
      </c>
      <c r="C26" s="20" t="n">
        <f aca="false">D16*$J6</f>
        <v>10480.5</v>
      </c>
      <c r="D26" s="20" t="n">
        <f aca="false">E16*$K6</f>
        <v>20961</v>
      </c>
      <c r="E26" s="20" t="n">
        <f aca="false">F16*$L6</f>
        <v>2794.8</v>
      </c>
      <c r="F26" s="20" t="n">
        <f aca="false">SUM(B26:E26)</f>
        <v>173976.3</v>
      </c>
      <c r="G26" s="20" t="n">
        <f aca="false">IF(B16&gt;0,F26/B16,0)</f>
        <v>7470</v>
      </c>
    </row>
    <row r="27" customFormat="false" ht="15" hidden="false" customHeight="false" outlineLevel="0" collapsed="false">
      <c r="A27" s="8" t="str">
        <f aca="false">A7</f>
        <v>Sales</v>
      </c>
      <c r="B27" s="20" t="n">
        <f aca="false">C17*$I7</f>
        <v>28791</v>
      </c>
      <c r="C27" s="20" t="n">
        <f aca="false">D17*$J7</f>
        <v>13710</v>
      </c>
      <c r="D27" s="20" t="n">
        <f aca="false">E17*$K7</f>
        <v>6855</v>
      </c>
      <c r="E27" s="20" t="n">
        <f aca="false">F17*$L7</f>
        <v>1828</v>
      </c>
      <c r="F27" s="20" t="n">
        <f aca="false">SUM(B27:E27)</f>
        <v>51184</v>
      </c>
      <c r="G27" s="20" t="n">
        <f aca="false">IF(B17&gt;0,F27/B17,0)</f>
        <v>2240</v>
      </c>
    </row>
    <row r="28" customFormat="false" ht="15" hidden="false" customHeight="false" outlineLevel="0" collapsed="false">
      <c r="A28" s="8" t="str">
        <f aca="false">A8</f>
        <v>Customer support</v>
      </c>
      <c r="B28" s="20" t="n">
        <f aca="false">C18*$I8</f>
        <v>0</v>
      </c>
      <c r="C28" s="20" t="n">
        <f aca="false">D18*$J8</f>
        <v>11250</v>
      </c>
      <c r="D28" s="20" t="n">
        <f aca="false">E18*$K8</f>
        <v>7812.5</v>
      </c>
      <c r="E28" s="20" t="n">
        <f aca="false">F18*$L8</f>
        <v>1171.875</v>
      </c>
      <c r="F28" s="20" t="n">
        <f aca="false">SUM(B28:E28)</f>
        <v>20234.375</v>
      </c>
      <c r="G28" s="20" t="n">
        <f aca="false">IF(B18&gt;0,F28/B18,0)</f>
        <v>647.5</v>
      </c>
    </row>
    <row r="29" customFormat="false" ht="15" hidden="false" customHeight="false" outlineLevel="0" collapsed="false">
      <c r="A29" s="8" t="str">
        <f aca="false">A9</f>
        <v>Operations</v>
      </c>
      <c r="B29" s="20" t="n">
        <f aca="false">C19*$I9</f>
        <v>8350.875</v>
      </c>
      <c r="C29" s="20" t="n">
        <f aca="false">D19*$J9</f>
        <v>9421.5</v>
      </c>
      <c r="D29" s="20" t="n">
        <f aca="false">E19*$K9</f>
        <v>5353.125</v>
      </c>
      <c r="E29" s="20" t="n">
        <f aca="false">F19*$L9</f>
        <v>963.5625</v>
      </c>
      <c r="F29" s="20" t="n">
        <f aca="false">SUM(B29:E29)</f>
        <v>24089.0625</v>
      </c>
      <c r="G29" s="20" t="n">
        <f aca="false">IF(B19&gt;0,F29/B19,0)</f>
        <v>1125</v>
      </c>
    </row>
    <row r="30" customFormat="false" ht="15" hidden="false" customHeight="false" outlineLevel="0" collapsed="false">
      <c r="A30" s="8" t="str">
        <f aca="false">A10</f>
        <v>Corporate functions</v>
      </c>
      <c r="B30" s="20" t="n">
        <f aca="false">C20*$I10</f>
        <v>34637.5</v>
      </c>
      <c r="C30" s="20" t="n">
        <f aca="false">D20*$J10</f>
        <v>3423</v>
      </c>
      <c r="D30" s="20" t="n">
        <f aca="false">E20*$K10</f>
        <v>3260</v>
      </c>
      <c r="E30" s="20" t="n">
        <f aca="false">F20*$L10</f>
        <v>815</v>
      </c>
      <c r="F30" s="20" t="n">
        <f aca="false">SUM(B30:E30)</f>
        <v>42135.5</v>
      </c>
      <c r="G30" s="20" t="n">
        <f aca="false">IF(B20&gt;0,F30/B20,0)</f>
        <v>5170</v>
      </c>
    </row>
    <row r="31" customFormat="false" ht="15" hidden="false" customHeight="false" outlineLevel="0" collapsed="false">
      <c r="A31" s="8" t="str">
        <f aca="false">A11</f>
        <v>Leadership</v>
      </c>
      <c r="B31" s="20" t="n">
        <f aca="false">C21*$I11</f>
        <v>122360</v>
      </c>
      <c r="C31" s="20" t="n">
        <f aca="false">D21*$J11</f>
        <v>368</v>
      </c>
      <c r="D31" s="20" t="n">
        <f aca="false">E21*$K11</f>
        <v>2760</v>
      </c>
      <c r="E31" s="20" t="n">
        <f aca="false">F21*$L11</f>
        <v>368</v>
      </c>
      <c r="F31" s="20" t="n">
        <f aca="false">SUM(B31:E31)</f>
        <v>125856</v>
      </c>
      <c r="G31" s="20" t="n">
        <f aca="false">IF(B21&gt;0,F31/B21,0)</f>
        <v>34200</v>
      </c>
    </row>
    <row r="32" customFormat="false" ht="15" hidden="false" customHeight="false" outlineLevel="0" collapsed="false">
      <c r="A32" s="17" t="s">
        <v>87</v>
      </c>
      <c r="B32" s="18" t="n">
        <f aca="false">SUM(B26:B31)</f>
        <v>333879.375</v>
      </c>
      <c r="C32" s="18" t="n">
        <f aca="false">SUM(C26:C31)</f>
        <v>48653</v>
      </c>
      <c r="D32" s="18" t="n">
        <f aca="false">SUM(D26:D31)</f>
        <v>47001.625</v>
      </c>
      <c r="E32" s="18" t="n">
        <f aca="false">SUM(E26:E31)</f>
        <v>7941.2375</v>
      </c>
      <c r="F32" s="18" t="n">
        <f aca="false">SUM(F26:F31)</f>
        <v>437475.2375</v>
      </c>
      <c r="G32" s="18" t="n">
        <f aca="false">IF(B22&gt;0,F32/B22,0)</f>
        <v>3954.31032924322</v>
      </c>
    </row>
    <row r="34" customFormat="false" ht="15" hidden="false" customHeight="false" outlineLevel="0" collapsed="false">
      <c r="A34" s="4" t="str">
        <f aca="false">"4. Fixed annual cost by channel, "&amp;Headcount!$B$6&amp;" (retainers, subscriptions, program costs)"</f>
        <v>4. Fixed annual cost by channel, USD (retainers, subscriptions, program costs)</v>
      </c>
    </row>
    <row r="35" customFormat="false" ht="31.5" hidden="false" customHeight="true" outlineLevel="0" collapsed="false">
      <c r="A35" s="15" t="s">
        <v>165</v>
      </c>
      <c r="B35" s="15" t="s">
        <v>158</v>
      </c>
      <c r="C35" s="15" t="s">
        <v>159</v>
      </c>
      <c r="D35" s="15" t="s">
        <v>160</v>
      </c>
      <c r="E35" s="15" t="s">
        <v>161</v>
      </c>
      <c r="F35" s="15" t="s">
        <v>87</v>
      </c>
    </row>
    <row r="36" customFormat="false" ht="15" hidden="false" customHeight="false" outlineLevel="0" collapsed="false">
      <c r="A36" s="8" t="str">
        <f aca="false">"Fixed cost for the year ("&amp;Headcount!$B$6&amp;")"</f>
        <v>Fixed cost for the year (USD)</v>
      </c>
      <c r="B36" s="14" t="n">
        <v>0</v>
      </c>
      <c r="C36" s="14" t="n">
        <v>24000</v>
      </c>
      <c r="D36" s="14" t="n">
        <v>2000</v>
      </c>
      <c r="E36" s="14" t="n">
        <v>20000</v>
      </c>
      <c r="F36" s="20" t="n">
        <f aca="false">SUM(B36:E36)</f>
        <v>46000</v>
      </c>
    </row>
    <row r="38" customFormat="false" ht="15" hidden="false" customHeight="false" outlineLevel="0" collapsed="false">
      <c r="A38" s="4" t="str">
        <f aca="false">"5. Budget by quarter and channel, "&amp;Headcount!$B$6&amp;" (variable cost by start date, fixed cost spread evenly)"</f>
        <v>5. Budget by quarter and channel, USD (variable cost by start date, fixed cost spread evenly)</v>
      </c>
    </row>
    <row r="39" customFormat="false" ht="31.5" hidden="false" customHeight="true" outlineLevel="0" collapsed="false">
      <c r="A39" s="15" t="s">
        <v>166</v>
      </c>
      <c r="B39" s="15" t="s">
        <v>82</v>
      </c>
      <c r="C39" s="15" t="s">
        <v>83</v>
      </c>
      <c r="D39" s="15" t="s">
        <v>84</v>
      </c>
      <c r="E39" s="15" t="s">
        <v>85</v>
      </c>
      <c r="F39" s="15" t="s">
        <v>86</v>
      </c>
      <c r="G39" s="15" t="s">
        <v>167</v>
      </c>
    </row>
    <row r="40" customFormat="false" ht="15" hidden="false" customHeight="false" outlineLevel="0" collapsed="false">
      <c r="A40" s="8" t="s">
        <v>158</v>
      </c>
      <c r="B40" s="20" t="n">
        <f aca="false">SUMPRODUCT(Headcount!B$51:B$56,$C$6:$C$11,$I$6:$I$11)+$B$36/4</f>
        <v>104315</v>
      </c>
      <c r="C40" s="20" t="n">
        <f aca="false">SUMPRODUCT(Headcount!C$51:C$56,$C$6:$C$11,$I$6:$I$11)+$B$36/4</f>
        <v>72774.5</v>
      </c>
      <c r="D40" s="20" t="n">
        <f aca="false">SUMPRODUCT(Headcount!D$51:D$56,$C$6:$C$11,$I$6:$I$11)+$B$36/4</f>
        <v>99419</v>
      </c>
      <c r="E40" s="20" t="n">
        <f aca="false">SUMPRODUCT(Headcount!E$51:E$56,$C$6:$C$11,$I$6:$I$11)+$B$36/4</f>
        <v>57370.875</v>
      </c>
      <c r="F40" s="20" t="n">
        <f aca="false">SUM(B40:E40)</f>
        <v>333879.375</v>
      </c>
      <c r="G40" s="32" t="n">
        <f aca="false">IF($F$44&gt;0,F40/$F$44,0)</f>
        <v>0.690582162442187</v>
      </c>
    </row>
    <row r="41" customFormat="false" ht="15" hidden="false" customHeight="false" outlineLevel="0" collapsed="false">
      <c r="A41" s="8" t="s">
        <v>159</v>
      </c>
      <c r="B41" s="20" t="n">
        <f aca="false">SUMPRODUCT(Headcount!B$51:B$56,$D$6:$D$11,$J$6:$J$11)+$C$36/4</f>
        <v>18840</v>
      </c>
      <c r="C41" s="20" t="n">
        <f aca="false">SUMPRODUCT(Headcount!C$51:C$56,$D$6:$D$11,$J$6:$J$11)+$C$36/4</f>
        <v>18974.5</v>
      </c>
      <c r="D41" s="20" t="n">
        <f aca="false">SUMPRODUCT(Headcount!D$51:D$56,$D$6:$D$11,$J$6:$J$11)+$C$36/4</f>
        <v>17817</v>
      </c>
      <c r="E41" s="20" t="n">
        <f aca="false">SUMPRODUCT(Headcount!E$51:E$56,$D$6:$D$11,$J$6:$J$11)+$C$36/4</f>
        <v>17021.5</v>
      </c>
      <c r="F41" s="20" t="n">
        <f aca="false">SUM(B41:E41)</f>
        <v>72653</v>
      </c>
      <c r="G41" s="32" t="n">
        <f aca="false">IF($F$44&gt;0,F41/$F$44,0)</f>
        <v>0.150272432515223</v>
      </c>
    </row>
    <row r="42" customFormat="false" ht="15" hidden="false" customHeight="false" outlineLevel="0" collapsed="false">
      <c r="A42" s="8" t="s">
        <v>160</v>
      </c>
      <c r="B42" s="20" t="n">
        <f aca="false">SUMPRODUCT(Headcount!B$51:B$56,$E$6:$E$11,$K$6:$K$11)+$D$36/4</f>
        <v>13353.75</v>
      </c>
      <c r="C42" s="20" t="n">
        <f aca="false">SUMPRODUCT(Headcount!C$51:C$56,$E$6:$E$11,$K$6:$K$11)+$D$36/4</f>
        <v>12831.75</v>
      </c>
      <c r="D42" s="20" t="n">
        <f aca="false">SUMPRODUCT(Headcount!D$51:D$56,$E$6:$E$11,$K$6:$K$11)+$D$36/4</f>
        <v>12344.75</v>
      </c>
      <c r="E42" s="20" t="n">
        <f aca="false">SUMPRODUCT(Headcount!E$51:E$56,$E$6:$E$11,$K$6:$K$11)+$D$36/4</f>
        <v>10471.375</v>
      </c>
      <c r="F42" s="20" t="n">
        <f aca="false">SUM(B42:E42)</f>
        <v>49001.625</v>
      </c>
      <c r="G42" s="32" t="n">
        <f aca="false">IF($F$44&gt;0,F42/$F$44,0)</f>
        <v>0.101352915721976</v>
      </c>
    </row>
    <row r="43" customFormat="false" ht="15" hidden="false" customHeight="false" outlineLevel="0" collapsed="false">
      <c r="A43" s="8" t="s">
        <v>161</v>
      </c>
      <c r="B43" s="20" t="n">
        <f aca="false">SUMPRODUCT(Headcount!B$51:B$56,$F$6:$F$11,$L$6:$L$11)+$E$36/4</f>
        <v>7157.6875</v>
      </c>
      <c r="C43" s="20" t="n">
        <f aca="false">SUMPRODUCT(Headcount!C$51:C$56,$F$6:$F$11,$L$6:$L$11)+$E$36/4</f>
        <v>7096.65</v>
      </c>
      <c r="D43" s="20" t="n">
        <f aca="false">SUMPRODUCT(Headcount!D$51:D$56,$F$6:$F$11,$L$6:$L$11)+$E$36/4</f>
        <v>6988.6125</v>
      </c>
      <c r="E43" s="20" t="n">
        <f aca="false">SUMPRODUCT(Headcount!E$51:E$56,$F$6:$F$11,$L$6:$L$11)+$E$36/4</f>
        <v>6698.2875</v>
      </c>
      <c r="F43" s="20" t="n">
        <f aca="false">SUM(B43:E43)</f>
        <v>27941.2375</v>
      </c>
      <c r="G43" s="32" t="n">
        <f aca="false">IF($F$44&gt;0,F43/$F$44,0)</f>
        <v>0.0577924893206139</v>
      </c>
    </row>
    <row r="44" customFormat="false" ht="15" hidden="false" customHeight="false" outlineLevel="0" collapsed="false">
      <c r="A44" s="17" t="s">
        <v>168</v>
      </c>
      <c r="B44" s="18" t="n">
        <f aca="false">SUM(B40:B43)</f>
        <v>143666.4375</v>
      </c>
      <c r="C44" s="18" t="n">
        <f aca="false">SUM(C40:C43)</f>
        <v>111677.4</v>
      </c>
      <c r="D44" s="18" t="n">
        <f aca="false">SUM(D40:D43)</f>
        <v>136569.3625</v>
      </c>
      <c r="E44" s="18" t="n">
        <f aca="false">SUM(E40:E43)</f>
        <v>91562.0375</v>
      </c>
      <c r="F44" s="18" t="n">
        <f aca="false">SUM(F40:F43)</f>
        <v>483475.2375</v>
      </c>
      <c r="G44" s="19" t="n">
        <f aca="false">SUM(G40:G43)</f>
        <v>1</v>
      </c>
    </row>
    <row r="46" customFormat="false" ht="15" hidden="false" customHeight="false" outlineLevel="0" collapsed="false">
      <c r="A46" s="4" t="s">
        <v>169</v>
      </c>
    </row>
    <row r="47" customFormat="false" ht="15" hidden="false" customHeight="false" outlineLevel="0" collapsed="false">
      <c r="A47" s="8" t="str">
        <f aca="false">"Approved 2027 budget, channels plus recruiters ("&amp;Headcount!$B$6&amp;")"</f>
        <v>Approved 2027 budget, channels plus recruiters (USD)</v>
      </c>
      <c r="B47" s="14" t="n">
        <v>650000</v>
      </c>
    </row>
    <row r="48" customFormat="false" ht="15" hidden="false" customHeight="false" outlineLevel="0" collapsed="false">
      <c r="A48" s="8" t="s">
        <v>170</v>
      </c>
      <c r="B48" s="20" t="n">
        <f aca="false">F44</f>
        <v>483475.2375</v>
      </c>
    </row>
    <row r="49" customFormat="false" ht="15" hidden="false" customHeight="false" outlineLevel="0" collapsed="false">
      <c r="A49" s="8" t="s">
        <v>171</v>
      </c>
      <c r="B49" s="20" t="n">
        <f aca="false">Capacity!F63</f>
        <v>140000</v>
      </c>
    </row>
    <row r="50" customFormat="false" ht="15" hidden="false" customHeight="false" outlineLevel="0" collapsed="false">
      <c r="A50" s="8" t="s">
        <v>172</v>
      </c>
      <c r="B50" s="20" t="n">
        <f aca="false">B48+B49</f>
        <v>623475.2375</v>
      </c>
    </row>
    <row r="51" customFormat="false" ht="15" hidden="false" customHeight="false" outlineLevel="0" collapsed="false">
      <c r="A51" s="8" t="s">
        <v>173</v>
      </c>
      <c r="B51" s="20" t="n">
        <f aca="false">B47-B50</f>
        <v>26524.7625</v>
      </c>
    </row>
    <row r="52" customFormat="false" ht="15" hidden="false" customHeight="false" outlineLevel="0" collapsed="false">
      <c r="A52" s="8" t="s">
        <v>147</v>
      </c>
      <c r="B52" s="30" t="str">
        <f aca="false">IF(B47&lt;=0,"No budget entered",IF(B51&lt;0,"Over budget","Within budget"))</f>
        <v>Within budget</v>
      </c>
    </row>
  </sheetData>
  <conditionalFormatting sqref="G6:G11">
    <cfRule type="expression" priority="2" aboveAverage="0" equalAverage="0" bottom="0" percent="0" rank="0" text="" dxfId="1">
      <formula>ABS(G6-1)&gt;0.0001</formula>
    </cfRule>
  </conditionalFormatting>
  <conditionalFormatting sqref="B52">
    <cfRule type="cellIs" priority="3" operator="equal" aboveAverage="0" equalAverage="0" bottom="0" percent="0" rank="0" text="" dxfId="0">
      <formula>"OK"</formula>
    </cfRule>
    <cfRule type="cellIs" priority="4" operator="equal" aboveAverage="0" equalAverage="0" bottom="0" percent="0" rank="0" text="" dxfId="1">
      <formula>"CHECK"</formula>
    </cfRule>
    <cfRule type="cellIs" priority="5" operator="equal" aboveAverage="0" equalAverage="0" bottom="0" percent="0" rank="0" text="" dxfId="2">
      <formula>"REVIEW"</formula>
    </cfRule>
    <cfRule type="cellIs" priority="6" operator="equal" aboveAverage="0" equalAverage="0" bottom="0" percent="0" rank="0" text="" dxfId="2">
      <formula>"Short"</formula>
    </cfRule>
    <cfRule type="cellIs" priority="7" operator="equal" aboveAverage="0" equalAverage="0" bottom="0" percent="0" rank="0" text="" dxfId="2">
      <formula>"Over budget"</formula>
    </cfRule>
    <cfRule type="cellIs" priority="8" operator="equal" aboveAverage="0" equalAverage="0" bottom="0" percent="0" rank="0" text="" dxfId="0">
      <formula>"Within budget"</formula>
    </cfRule>
  </conditionalFormatting>
  <dataValidations count="6">
    <dataValidation allowBlank="true" error="Enter zero or a positive number." errorStyle="stop" errorTitle="Salary" operator="greaterThanOrEqual" showDropDown="false" showErrorMessage="true" showInputMessage="false" sqref="B6:B11" type="decimal">
      <formula1>0</formula1>
      <formula2>0</formula2>
    </dataValidation>
    <dataValidation allowBlank="true" error="Enter a share between 0% and 100%." errorStyle="stop" errorTitle="Channel share" operator="between" showDropDown="false" showErrorMessage="true" showInputMessage="false" sqref="C6:F11" type="decimal">
      <formula1>0</formula1>
      <formula2>1</formula2>
    </dataValidation>
    <dataValidation allowBlank="true" error="Enter a fee rate between 0% and 100%." errorStyle="stop" errorTitle="Agency fee" operator="between" showDropDown="false" showErrorMessage="true" showInputMessage="false" sqref="H6:H11" type="decimal">
      <formula1>0</formula1>
      <formula2>1</formula2>
    </dataValidation>
    <dataValidation allowBlank="true" error="Enter zero or a positive number." errorStyle="stop" errorTitle="Cost per hire" operator="greaterThanOrEqual" showDropDown="false" showErrorMessage="true" showInputMessage="false" sqref="J6:L11" type="decimal">
      <formula1>0</formula1>
      <formula2>0</formula2>
    </dataValidation>
    <dataValidation allowBlank="true" error="Enter zero or a positive number." errorStyle="stop" errorTitle="Fixed cost" operator="greaterThanOrEqual" showDropDown="false" showErrorMessage="true" showInputMessage="false" sqref="B36:E36" type="decimal">
      <formula1>0</formula1>
      <formula2>0</formula2>
    </dataValidation>
    <dataValidation allowBlank="true" error="Enter zero or a positive number." errorStyle="stop" errorTitle="Budget" operator="greaterThanOrEqual" showDropDown="false" showErrorMessage="true" showInputMessage="false" sqref="B47" type="decimal">
      <formula1>0</formula1>
      <formula2>0</formula2>
    </dataValidation>
  </dataValidations>
  <printOptions headings="false" gridLines="false" gridLinesSet="true" horizontalCentered="true" verticalCentered="false"/>
  <pageMargins left="0.5" right="0.5" top="0.6" bottom="0.8" header="0.511811023622047" footer="0.3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3" min="2" style="0" width="18"/>
    <col collapsed="false" customWidth="true" hidden="false" outlineLevel="0" max="5" min="4" style="0" width="16"/>
    <col collapsed="false" customWidth="true" hidden="false" outlineLevel="0" max="6" min="6" style="0" width="20"/>
  </cols>
  <sheetData>
    <row r="1" customFormat="false" ht="19.7" hidden="false" customHeight="false" outlineLevel="0" collapsed="false">
      <c r="A1" s="1" t="s">
        <v>174</v>
      </c>
    </row>
    <row r="2" customFormat="false" ht="15" hidden="false" customHeight="false" outlineLevel="0" collapsed="false">
      <c r="A2" s="12" t="str">
        <f aca="false">"Plan: "&amp;Headcount!B5&amp;"   Currency: "&amp;Headcount!B6</f>
        <v>Plan: Example Co (illustrative)   Currency: USD</v>
      </c>
    </row>
    <row r="3" customFormat="false" ht="15" hidden="false" customHeight="false" outlineLevel="0" collapsed="false">
      <c r="A3" s="8" t="s">
        <v>57</v>
      </c>
      <c r="B3" s="30" t="str">
        <f aca="false">Checks!C4</f>
        <v>ALL CHECKS PASS</v>
      </c>
      <c r="C3" s="30" t="str">
        <f aca="false">Checks!C5</f>
        <v>1 to review</v>
      </c>
    </row>
    <row r="4" customFormat="false" ht="15" hidden="false" customHeight="false" outlineLevel="0" collapsed="false">
      <c r="A4" s="7" t="str">
        <f aca="false">IF(Checks!C4="ALL CHECKS PASS","","Do not use these totals yet: open the Checks sheet and fix every CHECK.")</f>
        <v/>
      </c>
    </row>
    <row r="5" customFormat="false" ht="15" hidden="false" customHeight="false" outlineLevel="0" collapsed="false">
      <c r="A5" s="15" t="s">
        <v>139</v>
      </c>
      <c r="B5" s="15" t="s">
        <v>82</v>
      </c>
      <c r="C5" s="15" t="s">
        <v>83</v>
      </c>
      <c r="D5" s="15" t="s">
        <v>84</v>
      </c>
      <c r="E5" s="15" t="s">
        <v>85</v>
      </c>
      <c r="F5" s="15" t="s">
        <v>86</v>
      </c>
    </row>
    <row r="6" customFormat="false" ht="15" hidden="false" customHeight="false" outlineLevel="0" collapsed="false">
      <c r="A6" s="8" t="s">
        <v>175</v>
      </c>
      <c r="B6" s="21" t="n">
        <f aca="false">Headcount!B27</f>
        <v>13</v>
      </c>
      <c r="C6" s="21" t="n">
        <f aca="false">Headcount!C27</f>
        <v>12</v>
      </c>
      <c r="D6" s="21" t="n">
        <f aca="false">Headcount!D27</f>
        <v>10</v>
      </c>
      <c r="E6" s="21" t="n">
        <f aca="false">Headcount!E27</f>
        <v>7</v>
      </c>
      <c r="F6" s="21" t="n">
        <f aca="false">Headcount!F27</f>
        <v>42</v>
      </c>
    </row>
    <row r="7" customFormat="false" ht="15" hidden="false" customHeight="false" outlineLevel="0" collapsed="false">
      <c r="A7" s="8" t="s">
        <v>176</v>
      </c>
      <c r="B7" s="21" t="n">
        <f aca="false">Headcount!B47</f>
        <v>16.425</v>
      </c>
      <c r="C7" s="21" t="n">
        <f aca="false">Headcount!C47</f>
        <v>16.94</v>
      </c>
      <c r="D7" s="21" t="n">
        <f aca="false">Headcount!D47</f>
        <v>17.435</v>
      </c>
      <c r="E7" s="21" t="n">
        <f aca="false">Headcount!E47</f>
        <v>17.8325</v>
      </c>
      <c r="F7" s="21" t="n">
        <f aca="false">Headcount!F47</f>
        <v>68.6325</v>
      </c>
    </row>
    <row r="8" customFormat="false" ht="15" hidden="false" customHeight="false" outlineLevel="0" collapsed="false">
      <c r="A8" s="17" t="s">
        <v>177</v>
      </c>
      <c r="B8" s="22" t="n">
        <f aca="false">Headcount!B57</f>
        <v>29.425</v>
      </c>
      <c r="C8" s="22" t="n">
        <f aca="false">Headcount!C57</f>
        <v>28.94</v>
      </c>
      <c r="D8" s="22" t="n">
        <f aca="false">Headcount!D57</f>
        <v>27.435</v>
      </c>
      <c r="E8" s="22" t="n">
        <f aca="false">Headcount!E57</f>
        <v>24.8325</v>
      </c>
      <c r="F8" s="22" t="n">
        <f aca="false">Headcount!F57</f>
        <v>110.6325</v>
      </c>
    </row>
    <row r="9" customFormat="false" ht="15" hidden="false" customHeight="false" outlineLevel="0" collapsed="false">
      <c r="A9" s="8" t="s">
        <v>110</v>
      </c>
      <c r="B9" s="21" t="n">
        <f aca="false">Funnel!B27</f>
        <v>34.433660130719</v>
      </c>
      <c r="C9" s="21" t="n">
        <f aca="false">Funnel!C27</f>
        <v>33.7050980392157</v>
      </c>
      <c r="D9" s="21" t="n">
        <f aca="false">Funnel!D27</f>
        <v>32.078954248366</v>
      </c>
      <c r="E9" s="21" t="n">
        <f aca="false">Funnel!E27</f>
        <v>28.785931372549</v>
      </c>
      <c r="F9" s="21" t="n">
        <f aca="false">Funnel!F27</f>
        <v>129.00364379085</v>
      </c>
    </row>
    <row r="10" customFormat="false" ht="15" hidden="false" customHeight="false" outlineLevel="0" collapsed="false">
      <c r="A10" s="8" t="s">
        <v>113</v>
      </c>
      <c r="B10" s="20" t="n">
        <f aca="false">Funnel!B30</f>
        <v>913.977591036415</v>
      </c>
      <c r="C10" s="20" t="n">
        <f aca="false">Funnel!C30</f>
        <v>882.465141612201</v>
      </c>
      <c r="D10" s="20" t="n">
        <f aca="false">Funnel!D30</f>
        <v>845.025728810043</v>
      </c>
      <c r="E10" s="20" t="n">
        <f aca="false">Funnel!E30</f>
        <v>710.747587924059</v>
      </c>
      <c r="F10" s="20" t="n">
        <f aca="false">Funnel!F30</f>
        <v>3352.21604938272</v>
      </c>
    </row>
    <row r="11" customFormat="false" ht="15" hidden="false" customHeight="false" outlineLevel="0" collapsed="false">
      <c r="A11" s="8" t="s">
        <v>178</v>
      </c>
      <c r="B11" s="21" t="n">
        <f aca="false">Headcount!B67</f>
        <v>413</v>
      </c>
      <c r="C11" s="21" t="n">
        <f aca="false">Headcount!C67</f>
        <v>425</v>
      </c>
      <c r="D11" s="21" t="n">
        <f aca="false">Headcount!D67</f>
        <v>435</v>
      </c>
      <c r="E11" s="21" t="n">
        <f aca="false">Headcount!E67</f>
        <v>442</v>
      </c>
      <c r="F11" s="21" t="n">
        <f aca="false">Headcount!E67</f>
        <v>442</v>
      </c>
    </row>
    <row r="12" customFormat="false" ht="15" hidden="false" customHeight="false" outlineLevel="0" collapsed="false">
      <c r="A12" s="8" t="s">
        <v>179</v>
      </c>
      <c r="B12" s="21" t="n">
        <f aca="false">Capacity!B31</f>
        <v>13.3888888888889</v>
      </c>
      <c r="C12" s="21" t="n">
        <f aca="false">Capacity!C31</f>
        <v>12.5208333333333</v>
      </c>
      <c r="D12" s="21" t="n">
        <f aca="false">Capacity!D31</f>
        <v>12.2972222222222</v>
      </c>
      <c r="E12" s="21" t="n">
        <f aca="false">Capacity!E31</f>
        <v>9.92638888888889</v>
      </c>
      <c r="F12" s="21" t="n">
        <f aca="false">AVERAGE(B12:E12)</f>
        <v>12.0333333333333</v>
      </c>
    </row>
    <row r="13" customFormat="false" ht="15" hidden="false" customHeight="false" outlineLevel="0" collapsed="false">
      <c r="A13" s="8" t="s">
        <v>180</v>
      </c>
      <c r="B13" s="25" t="n">
        <f aca="false">Capacity!B59</f>
        <v>1.17068654846198</v>
      </c>
      <c r="C13" s="25" t="n">
        <f aca="false">Capacity!C59</f>
        <v>1.07441244099492</v>
      </c>
      <c r="D13" s="25" t="n">
        <f aca="false">Capacity!D59</f>
        <v>1.08661181063475</v>
      </c>
      <c r="E13" s="25" t="n">
        <f aca="false">Capacity!E59</f>
        <v>0.871559231053533</v>
      </c>
      <c r="F13" s="25" t="n">
        <f aca="false">AVERAGE(B13:E13)</f>
        <v>1.05081750778629</v>
      </c>
    </row>
    <row r="14" customFormat="false" ht="15" hidden="false" customHeight="false" outlineLevel="0" collapsed="false">
      <c r="A14" s="8" t="s">
        <v>181</v>
      </c>
      <c r="B14" s="25" t="n">
        <f aca="false">Capacity!B56</f>
        <v>0.85</v>
      </c>
      <c r="C14" s="25" t="n">
        <f aca="false">Capacity!C56</f>
        <v>1.7</v>
      </c>
      <c r="D14" s="25" t="n">
        <f aca="false">Capacity!D56</f>
        <v>1.7</v>
      </c>
      <c r="E14" s="25" t="n">
        <f aca="false">Capacity!E56</f>
        <v>1.7</v>
      </c>
      <c r="F14" s="25" t="n">
        <f aca="false">AVERAGE(B14:E14)</f>
        <v>1.4875</v>
      </c>
    </row>
    <row r="15" customFormat="false" ht="15" hidden="false" customHeight="false" outlineLevel="0" collapsed="false">
      <c r="A15" s="8" t="s">
        <v>182</v>
      </c>
      <c r="B15" s="30" t="str">
        <f aca="false">Capacity!B62</f>
        <v>Short</v>
      </c>
      <c r="C15" s="30" t="str">
        <f aca="false">Capacity!C62</f>
        <v>OK</v>
      </c>
      <c r="D15" s="30" t="str">
        <f aca="false">Capacity!D62</f>
        <v>OK</v>
      </c>
      <c r="E15" s="30" t="str">
        <f aca="false">Capacity!E62</f>
        <v>OK</v>
      </c>
      <c r="F15" s="31" t="n">
        <f aca="false">Capacity!F62</f>
        <v>1</v>
      </c>
    </row>
    <row r="16" customFormat="false" ht="15" hidden="false" customHeight="false" outlineLevel="0" collapsed="false">
      <c r="A16" s="8" t="str">
        <f aca="false">"Agency spend ("&amp;Headcount!$B$6&amp;")"</f>
        <v>Agency spend (USD)</v>
      </c>
      <c r="B16" s="20" t="n">
        <f aca="false">Channels!B40</f>
        <v>104315</v>
      </c>
      <c r="C16" s="20" t="n">
        <f aca="false">Channels!C40</f>
        <v>72774.5</v>
      </c>
      <c r="D16" s="20" t="n">
        <f aca="false">Channels!D40</f>
        <v>99419</v>
      </c>
      <c r="E16" s="20" t="n">
        <f aca="false">Channels!E40</f>
        <v>57370.875</v>
      </c>
      <c r="F16" s="20" t="n">
        <f aca="false">Channels!F40</f>
        <v>333879.375</v>
      </c>
    </row>
    <row r="17" customFormat="false" ht="15" hidden="false" customHeight="false" outlineLevel="0" collapsed="false">
      <c r="A17" s="8" t="str">
        <f aca="false">"Job board and ad spend ("&amp;Headcount!$B$6&amp;")"</f>
        <v>Job board and ad spend (USD)</v>
      </c>
      <c r="B17" s="20" t="n">
        <f aca="false">Channels!B41</f>
        <v>18840</v>
      </c>
      <c r="C17" s="20" t="n">
        <f aca="false">Channels!C41</f>
        <v>18974.5</v>
      </c>
      <c r="D17" s="20" t="n">
        <f aca="false">Channels!D41</f>
        <v>17817</v>
      </c>
      <c r="E17" s="20" t="n">
        <f aca="false">Channels!E41</f>
        <v>17021.5</v>
      </c>
      <c r="F17" s="20" t="n">
        <f aca="false">Channels!F41</f>
        <v>72653</v>
      </c>
    </row>
    <row r="18" customFormat="false" ht="15" hidden="false" customHeight="false" outlineLevel="0" collapsed="false">
      <c r="A18" s="8" t="str">
        <f aca="false">"Referral spend ("&amp;Headcount!$B$6&amp;")"</f>
        <v>Referral spend (USD)</v>
      </c>
      <c r="B18" s="20" t="n">
        <f aca="false">Channels!B42</f>
        <v>13353.75</v>
      </c>
      <c r="C18" s="20" t="n">
        <f aca="false">Channels!C42</f>
        <v>12831.75</v>
      </c>
      <c r="D18" s="20" t="n">
        <f aca="false">Channels!D42</f>
        <v>12344.75</v>
      </c>
      <c r="E18" s="20" t="n">
        <f aca="false">Channels!E42</f>
        <v>10471.375</v>
      </c>
      <c r="F18" s="20" t="n">
        <f aca="false">Channels!F42</f>
        <v>49001.625</v>
      </c>
    </row>
    <row r="19" customFormat="false" ht="15" hidden="false" customHeight="false" outlineLevel="0" collapsed="false">
      <c r="A19" s="8" t="str">
        <f aca="false">"Direct and other spend ("&amp;Headcount!$B$6&amp;")"</f>
        <v>Direct and other spend (USD)</v>
      </c>
      <c r="B19" s="20" t="n">
        <f aca="false">Channels!B43</f>
        <v>7157.6875</v>
      </c>
      <c r="C19" s="20" t="n">
        <f aca="false">Channels!C43</f>
        <v>7096.65</v>
      </c>
      <c r="D19" s="20" t="n">
        <f aca="false">Channels!D43</f>
        <v>6988.6125</v>
      </c>
      <c r="E19" s="20" t="n">
        <f aca="false">Channels!E43</f>
        <v>6698.2875</v>
      </c>
      <c r="F19" s="20" t="n">
        <f aca="false">Channels!F43</f>
        <v>27941.2375</v>
      </c>
    </row>
    <row r="20" customFormat="false" ht="15" hidden="false" customHeight="false" outlineLevel="0" collapsed="false">
      <c r="A20" s="17" t="str">
        <f aca="false">"Total channel spend ("&amp;Headcount!$B$6&amp;")"</f>
        <v>Total channel spend (USD)</v>
      </c>
      <c r="B20" s="18" t="n">
        <f aca="false">Channels!B44</f>
        <v>143666.4375</v>
      </c>
      <c r="C20" s="18" t="n">
        <f aca="false">Channels!C44</f>
        <v>111677.4</v>
      </c>
      <c r="D20" s="18" t="n">
        <f aca="false">Channels!D44</f>
        <v>136569.3625</v>
      </c>
      <c r="E20" s="18" t="n">
        <f aca="false">Channels!E44</f>
        <v>91562.0375</v>
      </c>
      <c r="F20" s="18" t="n">
        <f aca="false">Channels!F44</f>
        <v>483475.2375</v>
      </c>
    </row>
    <row r="21" customFormat="false" ht="15" hidden="false" customHeight="false" outlineLevel="0" collapsed="false">
      <c r="A21" s="8" t="str">
        <f aca="false">"Recruiter cost ("&amp;Headcount!$B$6&amp;")"</f>
        <v>Recruiter cost (USD)</v>
      </c>
      <c r="B21" s="20" t="n">
        <f aca="false">Capacity!B63</f>
        <v>20000</v>
      </c>
      <c r="C21" s="20" t="n">
        <f aca="false">Capacity!C63</f>
        <v>40000</v>
      </c>
      <c r="D21" s="20" t="n">
        <f aca="false">Capacity!D63</f>
        <v>40000</v>
      </c>
      <c r="E21" s="20" t="n">
        <f aca="false">Capacity!E63</f>
        <v>40000</v>
      </c>
      <c r="F21" s="20" t="n">
        <f aca="false">Capacity!F63</f>
        <v>140000</v>
      </c>
    </row>
    <row r="22" customFormat="false" ht="15" hidden="false" customHeight="false" outlineLevel="0" collapsed="false">
      <c r="A22" s="17" t="str">
        <f aca="false">"Total recruiting cost ("&amp;Headcount!$B$6&amp;")"</f>
        <v>Total recruiting cost (USD)</v>
      </c>
      <c r="B22" s="18" t="n">
        <f aca="false">B20+B21</f>
        <v>163666.4375</v>
      </c>
      <c r="C22" s="18" t="n">
        <f aca="false">C20+C21</f>
        <v>151677.4</v>
      </c>
      <c r="D22" s="18" t="n">
        <f aca="false">D20+D21</f>
        <v>176569.3625</v>
      </c>
      <c r="E22" s="18" t="n">
        <f aca="false">E20+E21</f>
        <v>131562.0375</v>
      </c>
      <c r="F22" s="18" t="n">
        <f aca="false">F20+F21</f>
        <v>623475.2375</v>
      </c>
    </row>
    <row r="23" customFormat="false" ht="15" hidden="false" customHeight="false" outlineLevel="0" collapsed="false">
      <c r="A23" s="8" t="str">
        <f aca="false">"Cost per hire, channel spend only ("&amp;Headcount!$B$6&amp;")"</f>
        <v>Cost per hire, channel spend only (USD)</v>
      </c>
      <c r="B23" s="20" t="n">
        <f aca="false">IF(B8&gt;0,B20/B8,0)</f>
        <v>4882.46176720476</v>
      </c>
      <c r="C23" s="20" t="n">
        <f aca="false">IF(C8&gt;0,C20/C8,0)</f>
        <v>3858.92881824464</v>
      </c>
      <c r="D23" s="20" t="n">
        <f aca="false">IF(D8&gt;0,D20/D8,0)</f>
        <v>4977.92464005832</v>
      </c>
      <c r="E23" s="20" t="n">
        <f aca="false">IF(E8&gt;0,E20/E8,0)</f>
        <v>3687.18564381355</v>
      </c>
      <c r="F23" s="20" t="n">
        <f aca="false">IF(F8&gt;0,F20/F8,0)</f>
        <v>4370.10134906108</v>
      </c>
    </row>
    <row r="24" customFormat="false" ht="15" hidden="false" customHeight="false" outlineLevel="0" collapsed="false">
      <c r="A24" s="8" t="str">
        <f aca="false">"Cost per hire, all in ("&amp;Headcount!$B$6&amp;")"</f>
        <v>Cost per hire, all in (USD)</v>
      </c>
      <c r="B24" s="20" t="n">
        <f aca="false">IF(B8&gt;0,B22/B8,0)</f>
        <v>5562.15590484282</v>
      </c>
      <c r="C24" s="20" t="n">
        <f aca="false">IF(C8&gt;0,C22/C8,0)</f>
        <v>5241.09882515549</v>
      </c>
      <c r="D24" s="20" t="n">
        <f aca="false">IF(D8&gt;0,D22/D8,0)</f>
        <v>6435.91625660652</v>
      </c>
      <c r="E24" s="20" t="n">
        <f aca="false">IF(E8&gt;0,E22/E8,0)</f>
        <v>5297.97795228028</v>
      </c>
      <c r="F24" s="20" t="n">
        <f aca="false">IF(F8&gt;0,F22/F8,0)</f>
        <v>5635.55227894154</v>
      </c>
    </row>
    <row r="26" customFormat="false" ht="15" hidden="false" customHeight="false" outlineLevel="0" collapsed="false">
      <c r="A26" s="4" t="s">
        <v>183</v>
      </c>
    </row>
    <row r="27" customFormat="false" ht="15" hidden="false" customHeight="false" outlineLevel="0" collapsed="false">
      <c r="A27" s="15" t="s">
        <v>69</v>
      </c>
      <c r="B27" s="15" t="s">
        <v>175</v>
      </c>
      <c r="C27" s="15" t="s">
        <v>184</v>
      </c>
      <c r="D27" s="15" t="s">
        <v>177</v>
      </c>
      <c r="E27" s="15" t="s">
        <v>185</v>
      </c>
      <c r="F27" s="15" t="s">
        <v>186</v>
      </c>
    </row>
    <row r="28" customFormat="false" ht="15" hidden="false" customHeight="false" outlineLevel="0" collapsed="false">
      <c r="A28" s="8" t="str">
        <f aca="false">Headcount!$A11</f>
        <v>Engineering</v>
      </c>
      <c r="B28" s="21" t="n">
        <f aca="false">Headcount!F21</f>
        <v>13</v>
      </c>
      <c r="C28" s="21" t="n">
        <f aca="false">Headcount!F41</f>
        <v>10.29</v>
      </c>
      <c r="D28" s="21" t="n">
        <f aca="false">Headcount!F51</f>
        <v>23.29</v>
      </c>
      <c r="E28" s="32" t="n">
        <f aca="false">IF($D$34&gt;0,D28/$D$34,0)</f>
        <v>0.210516801120828</v>
      </c>
      <c r="F28" s="21" t="n">
        <f aca="false">Headcount!E61</f>
        <v>93</v>
      </c>
    </row>
    <row r="29" customFormat="false" ht="15" hidden="false" customHeight="false" outlineLevel="0" collapsed="false">
      <c r="A29" s="8" t="str">
        <f aca="false">Headcount!$A12</f>
        <v>Sales</v>
      </c>
      <c r="B29" s="21" t="n">
        <f aca="false">Headcount!F22</f>
        <v>10</v>
      </c>
      <c r="C29" s="21" t="n">
        <f aca="false">Headcount!F42</f>
        <v>12.85</v>
      </c>
      <c r="D29" s="21" t="n">
        <f aca="false">Headcount!F52</f>
        <v>22.85</v>
      </c>
      <c r="E29" s="32" t="n">
        <f aca="false">IF($D$34&gt;0,D29/$D$34,0)</f>
        <v>0.206539669626918</v>
      </c>
      <c r="F29" s="21" t="n">
        <f aca="false">Headcount!E62</f>
        <v>70</v>
      </c>
    </row>
    <row r="30" customFormat="false" ht="15" hidden="false" customHeight="false" outlineLevel="0" collapsed="false">
      <c r="A30" s="8" t="str">
        <f aca="false">Headcount!$A13</f>
        <v>Customer support</v>
      </c>
      <c r="B30" s="21" t="n">
        <f aca="false">Headcount!F23</f>
        <v>8</v>
      </c>
      <c r="C30" s="21" t="n">
        <f aca="false">Headcount!F43</f>
        <v>23.25</v>
      </c>
      <c r="D30" s="21" t="n">
        <f aca="false">Headcount!F53</f>
        <v>31.25</v>
      </c>
      <c r="E30" s="32" t="n">
        <f aca="false">IF($D$34&gt;0,D30/$D$34,0)</f>
        <v>0.282466725419746</v>
      </c>
      <c r="F30" s="21" t="n">
        <f aca="false">Headcount!E63</f>
        <v>98</v>
      </c>
    </row>
    <row r="31" customFormat="false" ht="15" hidden="false" customHeight="false" outlineLevel="0" collapsed="false">
      <c r="A31" s="8" t="str">
        <f aca="false">Headcount!$A14</f>
        <v>Operations</v>
      </c>
      <c r="B31" s="21" t="n">
        <f aca="false">Headcount!F24</f>
        <v>6</v>
      </c>
      <c r="C31" s="21" t="n">
        <f aca="false">Headcount!F44</f>
        <v>15.4125</v>
      </c>
      <c r="D31" s="21" t="n">
        <f aca="false">Headcount!F54</f>
        <v>21.4125</v>
      </c>
      <c r="E31" s="32" t="n">
        <f aca="false">IF($D$34&gt;0,D31/$D$34,0)</f>
        <v>0.19354620025761</v>
      </c>
      <c r="F31" s="21" t="n">
        <f aca="false">Headcount!E64</f>
        <v>106</v>
      </c>
    </row>
    <row r="32" customFormat="false" ht="15" hidden="false" customHeight="false" outlineLevel="0" collapsed="false">
      <c r="A32" s="8" t="str">
        <f aca="false">Headcount!$A15</f>
        <v>Corporate functions</v>
      </c>
      <c r="B32" s="21" t="n">
        <f aca="false">Headcount!F25</f>
        <v>3</v>
      </c>
      <c r="C32" s="21" t="n">
        <f aca="false">Headcount!F45</f>
        <v>5.15</v>
      </c>
      <c r="D32" s="21" t="n">
        <f aca="false">Headcount!F55</f>
        <v>8.15</v>
      </c>
      <c r="E32" s="32" t="n">
        <f aca="false">IF($D$34&gt;0,D32/$D$34,0)</f>
        <v>0.0736673219894697</v>
      </c>
      <c r="F32" s="21" t="n">
        <f aca="false">Headcount!E65</f>
        <v>53</v>
      </c>
    </row>
    <row r="33" customFormat="false" ht="15" hidden="false" customHeight="false" outlineLevel="0" collapsed="false">
      <c r="A33" s="8" t="str">
        <f aca="false">Headcount!$A16</f>
        <v>Leadership</v>
      </c>
      <c r="B33" s="21" t="n">
        <f aca="false">Headcount!F26</f>
        <v>2</v>
      </c>
      <c r="C33" s="21" t="n">
        <f aca="false">Headcount!F46</f>
        <v>1.68</v>
      </c>
      <c r="D33" s="21" t="n">
        <f aca="false">Headcount!F56</f>
        <v>3.68</v>
      </c>
      <c r="E33" s="32" t="n">
        <f aca="false">IF($D$34&gt;0,D33/$D$34,0)</f>
        <v>0.0332632815854292</v>
      </c>
      <c r="F33" s="21" t="n">
        <f aca="false">Headcount!E66</f>
        <v>22</v>
      </c>
    </row>
    <row r="34" customFormat="false" ht="15" hidden="false" customHeight="false" outlineLevel="0" collapsed="false">
      <c r="A34" s="17" t="s">
        <v>87</v>
      </c>
      <c r="B34" s="22" t="n">
        <f aca="false">SUM(B28:B33)</f>
        <v>42</v>
      </c>
      <c r="C34" s="22" t="n">
        <f aca="false">SUM(C28:C33)</f>
        <v>68.6325</v>
      </c>
      <c r="D34" s="22" t="n">
        <f aca="false">SUM(D28:D33)</f>
        <v>110.6325</v>
      </c>
      <c r="E34" s="19" t="n">
        <f aca="false">SUM(E28:E33)</f>
        <v>1</v>
      </c>
      <c r="F34" s="22" t="n">
        <f aca="false">SUM(F28:F33)</f>
        <v>442</v>
      </c>
    </row>
  </sheetData>
  <conditionalFormatting sqref="B15:E15">
    <cfRule type="cellIs" priority="2" operator="equal" aboveAverage="0" equalAverage="0" bottom="0" percent="0" rank="0" text="" dxfId="0">
      <formula>"OK"</formula>
    </cfRule>
    <cfRule type="cellIs" priority="3" operator="equal" aboveAverage="0" equalAverage="0" bottom="0" percent="0" rank="0" text="" dxfId="1">
      <formula>"CHECK"</formula>
    </cfRule>
    <cfRule type="cellIs" priority="4" operator="equal" aboveAverage="0" equalAverage="0" bottom="0" percent="0" rank="0" text="" dxfId="2">
      <formula>"REVIEW"</formula>
    </cfRule>
    <cfRule type="cellIs" priority="5" operator="equal" aboveAverage="0" equalAverage="0" bottom="0" percent="0" rank="0" text="" dxfId="2">
      <formula>"Short"</formula>
    </cfRule>
    <cfRule type="cellIs" priority="6" operator="equal" aboveAverage="0" equalAverage="0" bottom="0" percent="0" rank="0" text="" dxfId="2">
      <formula>"Over budget"</formula>
    </cfRule>
    <cfRule type="cellIs" priority="7" operator="equal" aboveAverage="0" equalAverage="0" bottom="0" percent="0" rank="0" text="" dxfId="0">
      <formula>"Within budget"</formula>
    </cfRule>
  </conditionalFormatting>
  <conditionalFormatting sqref="B3">
    <cfRule type="expression" priority="8" aboveAverage="0" equalAverage="0" bottom="0" percent="0" rank="0" text="" dxfId="0">
      <formula>$B$3="ALL CHECKS PASS"</formula>
    </cfRule>
    <cfRule type="expression" priority="9" aboveAverage="0" equalAverage="0" bottom="0" percent="0" rank="0" text="" dxfId="1">
      <formula>$B$3&lt;&gt;"ALL CHECKS PASS"</formula>
    </cfRule>
  </conditionalFormatting>
  <conditionalFormatting sqref="C3">
    <cfRule type="expression" priority="10" aboveAverage="0" equalAverage="0" bottom="0" percent="0" rank="0" text="" dxfId="0">
      <formula>$C$3="No planning flags"</formula>
    </cfRule>
    <cfRule type="expression" priority="11" aboveAverage="0" equalAverage="0" bottom="0" percent="0" rank="0" text="" dxfId="2">
      <formula>$C$3&lt;&gt;"No planning flags"</formula>
    </cfRule>
  </conditionalFormatting>
  <conditionalFormatting sqref="A4">
    <cfRule type="expression" priority="12" aboveAverage="0" equalAverage="0" bottom="0" percent="0" rank="0" text="" dxfId="3">
      <formula>$A$4&lt;&gt;""</formula>
    </cfRule>
  </conditionalFormatting>
  <printOptions headings="false" gridLines="false" gridLinesSet="true" horizontalCentered="true" verticalCentered="false"/>
  <pageMargins left="0.5" right="0.5" top="0.6" bottom="0.8" header="0.511811023622047" footer="0.3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82"/>
    <col collapsed="false" customWidth="true" hidden="false" outlineLevel="0" max="5" min="3" style="0" width="13"/>
    <col collapsed="false" customWidth="true" hidden="false" outlineLevel="0" max="6" min="6" style="0" width="12"/>
  </cols>
  <sheetData>
    <row r="1" customFormat="false" ht="19.7" hidden="false" customHeight="false" outlineLevel="0" collapsed="false">
      <c r="A1" s="1" t="s">
        <v>39</v>
      </c>
    </row>
    <row r="2" customFormat="false" ht="15" hidden="false" customHeight="false" outlineLevel="0" collapsed="false">
      <c r="A2" s="12" t="s">
        <v>187</v>
      </c>
    </row>
    <row r="4" customFormat="false" ht="15" hidden="false" customHeight="false" outlineLevel="0" collapsed="false">
      <c r="B4" s="8" t="s">
        <v>188</v>
      </c>
      <c r="C4" s="30" t="str">
        <f aca="false">IF((COUNTIF(F9:F27,"CHECK")+SUMPRODUCT(--ISERROR(F9:F27)))=0,"ALL CHECKS PASS",(COUNTIF(F9:F27,"CHECK")+SUMPRODUCT(--ISERROR(F9:F27)))&amp;" CHECK(S) FAILED")</f>
        <v>ALL CHECKS PASS</v>
      </c>
      <c r="D4" s="30"/>
      <c r="E4" s="30"/>
    </row>
    <row r="5" customFormat="false" ht="15" hidden="false" customHeight="false" outlineLevel="0" collapsed="false">
      <c r="B5" s="8" t="s">
        <v>58</v>
      </c>
      <c r="C5" s="30" t="str">
        <f aca="false">IF((COUNTIF(F31:F33,"REVIEW")+SUMPRODUCT(--ISERROR(F31:F33)))=0,"No planning flags",(COUNTIF(F31:F33,"REVIEW")+SUMPRODUCT(--ISERROR(F31:F33)))&amp;" to review")</f>
        <v>1 to review</v>
      </c>
      <c r="D5" s="30"/>
      <c r="E5" s="30"/>
    </row>
    <row r="7" customFormat="false" ht="15" hidden="false" customHeight="false" outlineLevel="0" collapsed="false">
      <c r="A7" s="4" t="s">
        <v>189</v>
      </c>
    </row>
    <row r="8" customFormat="false" ht="15" hidden="false" customHeight="false" outlineLevel="0" collapsed="false">
      <c r="A8" s="15" t="s">
        <v>190</v>
      </c>
      <c r="B8" s="15" t="s">
        <v>191</v>
      </c>
      <c r="C8" s="15" t="s">
        <v>192</v>
      </c>
      <c r="D8" s="15" t="s">
        <v>193</v>
      </c>
      <c r="E8" s="15" t="s">
        <v>194</v>
      </c>
      <c r="F8" s="15" t="s">
        <v>147</v>
      </c>
    </row>
    <row r="9" customFormat="false" ht="19.5" hidden="false" customHeight="true" outlineLevel="0" collapsed="false">
      <c r="A9" s="33" t="n">
        <v>1</v>
      </c>
      <c r="B9" s="34" t="s">
        <v>195</v>
      </c>
      <c r="C9" s="35" t="n">
        <f aca="false">Headcount!B17+Headcount!F27+Headcount!F47-Headcount!F37</f>
        <v>442</v>
      </c>
      <c r="D9" s="35" t="n">
        <f aca="false">Headcount!E67</f>
        <v>442</v>
      </c>
      <c r="E9" s="35" t="n">
        <f aca="false">D9-C9</f>
        <v>0</v>
      </c>
      <c r="F9" s="33" t="str">
        <f aca="false">IF(ISERROR(E9),"CHECK",IF(ABS(E9)&lt;0.005,"OK","CHECK"))</f>
        <v>OK</v>
      </c>
    </row>
    <row r="10" customFormat="false" ht="19.5" hidden="false" customHeight="true" outlineLevel="0" collapsed="false">
      <c r="A10" s="33" t="n">
        <v>2</v>
      </c>
      <c r="B10" s="34" t="s">
        <v>196</v>
      </c>
      <c r="C10" s="35" t="n">
        <f aca="false">Headcount!F27+Headcount!F47</f>
        <v>110.6325</v>
      </c>
      <c r="D10" s="35" t="n">
        <f aca="false">Headcount!F57</f>
        <v>110.6325</v>
      </c>
      <c r="E10" s="35" t="n">
        <f aca="false">D10-C10</f>
        <v>0</v>
      </c>
      <c r="F10" s="33" t="str">
        <f aca="false">IF(ISERROR(E10),"CHECK",IF(ABS(E10)&lt;0.005,"OK","CHECK"))</f>
        <v>OK</v>
      </c>
    </row>
    <row r="11" customFormat="false" ht="19.5" hidden="false" customHeight="true" outlineLevel="0" collapsed="false">
      <c r="A11" s="33" t="n">
        <v>3</v>
      </c>
      <c r="B11" s="34" t="s">
        <v>197</v>
      </c>
      <c r="C11" s="35" t="n">
        <f aca="false">Headcount!F57</f>
        <v>110.6325</v>
      </c>
      <c r="D11" s="35" t="n">
        <f aca="false">SUM(Summary!B8:E8)</f>
        <v>110.6325</v>
      </c>
      <c r="E11" s="35" t="n">
        <f aca="false">D11-C11</f>
        <v>0</v>
      </c>
      <c r="F11" s="33" t="str">
        <f aca="false">IF(ISERROR(E11),"CHECK",IF(ABS(E11)&lt;0.005,"OK","CHECK"))</f>
        <v>OK</v>
      </c>
    </row>
    <row r="12" customFormat="false" ht="19.5" hidden="false" customHeight="true" outlineLevel="0" collapsed="false">
      <c r="A12" s="33" t="n">
        <v>4</v>
      </c>
      <c r="B12" s="34" t="s">
        <v>198</v>
      </c>
      <c r="C12" s="35" t="n">
        <f aca="false">Headcount!F57</f>
        <v>110.6325</v>
      </c>
      <c r="D12" s="35" t="n">
        <f aca="false">Channels!G22</f>
        <v>110.6325</v>
      </c>
      <c r="E12" s="35" t="n">
        <f aca="false">D12-C12</f>
        <v>0</v>
      </c>
      <c r="F12" s="33" t="str">
        <f aca="false">IF(ISERROR(E12),"CHECK",IF(ABS(E12)&lt;0.005,"OK","CHECK"))</f>
        <v>OK</v>
      </c>
    </row>
    <row r="13" customFormat="false" ht="19.5" hidden="false" customHeight="true" outlineLevel="0" collapsed="false">
      <c r="A13" s="33" t="n">
        <v>5</v>
      </c>
      <c r="B13" s="34" t="s">
        <v>199</v>
      </c>
      <c r="C13" s="36" t="n">
        <f aca="false">Channels!F32</f>
        <v>437475.2375</v>
      </c>
      <c r="D13" s="36" t="n">
        <f aca="false">Channels!F44-Channels!F36</f>
        <v>437475.2375</v>
      </c>
      <c r="E13" s="36" t="n">
        <f aca="false">D13-C13</f>
        <v>0</v>
      </c>
      <c r="F13" s="33" t="str">
        <f aca="false">IF(ISERROR(E13),"CHECK",IF(ABS(E13)&lt;0.005,"OK","CHECK"))</f>
        <v>OK</v>
      </c>
    </row>
    <row r="14" customFormat="false" ht="19.5" hidden="false" customHeight="true" outlineLevel="0" collapsed="false">
      <c r="A14" s="33" t="n">
        <v>6</v>
      </c>
      <c r="B14" s="34" t="s">
        <v>200</v>
      </c>
      <c r="C14" s="36" t="n">
        <f aca="false">Channels!F44</f>
        <v>483475.2375</v>
      </c>
      <c r="D14" s="36" t="n">
        <f aca="false">Summary!F20</f>
        <v>483475.2375</v>
      </c>
      <c r="E14" s="36" t="n">
        <f aca="false">D14-C14</f>
        <v>0</v>
      </c>
      <c r="F14" s="33" t="str">
        <f aca="false">IF(ISERROR(E14),"CHECK",IF(ABS(E14)&lt;0.005,"OK","CHECK"))</f>
        <v>OK</v>
      </c>
    </row>
    <row r="15" customFormat="false" ht="30" hidden="false" customHeight="true" outlineLevel="0" collapsed="false">
      <c r="A15" s="33" t="n">
        <v>7</v>
      </c>
      <c r="B15" s="34" t="s">
        <v>201</v>
      </c>
      <c r="C15" s="35" t="n">
        <f aca="false">SUMPRODUCT((Funnel!G7:G12&gt;0)*Headcount!$F$51:$F$56)</f>
        <v>110.6325</v>
      </c>
      <c r="D15" s="35" t="n">
        <f aca="false">SUMPRODUCT(Funnel!C17:C22,Funnel!G7:G12)</f>
        <v>110.6325</v>
      </c>
      <c r="E15" s="35" t="n">
        <f aca="false">D15-C15</f>
        <v>0</v>
      </c>
      <c r="F15" s="33" t="str">
        <f aca="false">IF(ISERROR(E15),"CHECK",IF(ABS(E15)&lt;0.005,"OK","CHECK"))</f>
        <v>OK</v>
      </c>
    </row>
    <row r="16" customFormat="false" ht="19.5" hidden="false" customHeight="true" outlineLevel="0" collapsed="false">
      <c r="A16" s="33" t="n">
        <v>8</v>
      </c>
      <c r="B16" s="34" t="s">
        <v>202</v>
      </c>
      <c r="C16" s="36" t="n">
        <f aca="false">0</f>
        <v>0</v>
      </c>
      <c r="D16" s="36" t="n">
        <f aca="false">SUMPRODUCT((Headcount!$F$51:$F$56&gt;0)*(ABS(Channels!G6:G11-1)&gt;0.0001))</f>
        <v>0</v>
      </c>
      <c r="E16" s="36" t="n">
        <f aca="false">D16-C16</f>
        <v>0</v>
      </c>
      <c r="F16" s="33" t="str">
        <f aca="false">IF(ISERROR(E16),"CHECK",IF(ABS(E16)&lt;0.005,"OK","CHECK"))</f>
        <v>OK</v>
      </c>
    </row>
    <row r="17" customFormat="false" ht="30" hidden="false" customHeight="true" outlineLevel="0" collapsed="false">
      <c r="A17" s="33" t="n">
        <v>9</v>
      </c>
      <c r="B17" s="34" t="s">
        <v>203</v>
      </c>
      <c r="C17" s="36" t="n">
        <f aca="false">0</f>
        <v>0</v>
      </c>
      <c r="D17" s="36" t="n">
        <f aca="false">SUMPRODUCT((Headcount!$F$51:$F$56&gt;0)*(((Funnel!D7:D12&lt;=0)+(Funnel!D7:D12&gt;1)+(Funnel!E7:E12&lt;=0)+(Funnel!E7:E12&gt;1)+(Funnel!F7:F12&lt;=0)+(Funnel!F7:F12&gt;1)+(Funnel!G7:G12&lt;=0)+(Funnel!G7:G12&gt;1))&gt;0))</f>
        <v>0</v>
      </c>
      <c r="E17" s="36" t="n">
        <f aca="false">D17-C17</f>
        <v>0</v>
      </c>
      <c r="F17" s="33" t="str">
        <f aca="false">IF(ISERROR(E17),"CHECK",IF(ABS(E17)&lt;0.005,"OK","CHECK"))</f>
        <v>OK</v>
      </c>
    </row>
    <row r="18" customFormat="false" ht="30" hidden="false" customHeight="true" outlineLevel="0" collapsed="false">
      <c r="A18" s="33" t="n">
        <v>10</v>
      </c>
      <c r="B18" s="34" t="s">
        <v>204</v>
      </c>
      <c r="C18" s="36" t="n">
        <f aca="false">0</f>
        <v>0</v>
      </c>
      <c r="D18" s="36" t="n">
        <f aca="false">SUMPRODUCT((Headcount!$F$51:$F$56&gt;0)*(((Funnel!B7:B12&lt;=0)+(Funnel!C7:C12&lt;=0)+(Capacity!B16:B21&lt;=0))&gt;0))</f>
        <v>0</v>
      </c>
      <c r="E18" s="36" t="n">
        <f aca="false">D18-C18</f>
        <v>0</v>
      </c>
      <c r="F18" s="33" t="str">
        <f aca="false">IF(ISERROR(E18),"CHECK",IF(ABS(E18)&lt;0.005,"OK","CHECK"))</f>
        <v>OK</v>
      </c>
    </row>
    <row r="19" customFormat="false" ht="30" hidden="false" customHeight="true" outlineLevel="0" collapsed="false">
      <c r="A19" s="33" t="n">
        <v>11</v>
      </c>
      <c r="B19" s="34" t="s">
        <v>205</v>
      </c>
      <c r="C19" s="36" t="n">
        <f aca="false">0</f>
        <v>0</v>
      </c>
      <c r="D19" s="36" t="n">
        <f aca="false">SUMPRODUCT((Headcount!C11:C16&lt;0)+(Headcount!C11:C16&gt;1))+IF(OR(Capacity!B6&lt;0,Capacity!B6&gt;1),1,0)+SUMPRODUCT((Channels!H6:H11&lt;0)+(Channels!H6:H11&gt;1))</f>
        <v>0</v>
      </c>
      <c r="E19" s="36" t="n">
        <f aca="false">D19-C19</f>
        <v>0</v>
      </c>
      <c r="F19" s="33" t="str">
        <f aca="false">IF(ISERROR(E19),"CHECK",IF(ABS(E19)&lt;0.005,"OK","CHECK"))</f>
        <v>OK</v>
      </c>
    </row>
    <row r="20" customFormat="false" ht="19.5" hidden="false" customHeight="true" outlineLevel="0" collapsed="false">
      <c r="A20" s="33" t="n">
        <v>12</v>
      </c>
      <c r="B20" s="34" t="s">
        <v>206</v>
      </c>
      <c r="C20" s="36" t="n">
        <f aca="false">0</f>
        <v>0</v>
      </c>
      <c r="D20" s="36" t="n">
        <f aca="false">ROWS(Headcount!D11:D16)-COUNTIF(Headcount!D11:D16,"Yes")-COUNTIF(Headcount!D11:D16,"No")</f>
        <v>0</v>
      </c>
      <c r="E20" s="36" t="n">
        <f aca="false">D20-C20</f>
        <v>0</v>
      </c>
      <c r="F20" s="33" t="str">
        <f aca="false">IF(ISERROR(E20),"CHECK",IF(ABS(E20)&lt;0.005,"OK","CHECK"))</f>
        <v>OK</v>
      </c>
    </row>
    <row r="21" customFormat="false" ht="19.5" hidden="false" customHeight="true" outlineLevel="0" collapsed="false">
      <c r="A21" s="33" t="n">
        <v>13</v>
      </c>
      <c r="B21" s="34" t="s">
        <v>207</v>
      </c>
      <c r="C21" s="36" t="n">
        <f aca="false">0</f>
        <v>0</v>
      </c>
      <c r="D21" s="36" t="n">
        <f aca="false">COUNTIF(Headcount!B11:B16,"&lt;0")+COUNTIF(Headcount!B21:E26,"&lt;0")</f>
        <v>0</v>
      </c>
      <c r="E21" s="36" t="n">
        <f aca="false">D21-C21</f>
        <v>0</v>
      </c>
      <c r="F21" s="33" t="str">
        <f aca="false">IF(ISERROR(E21),"CHECK",IF(ABS(E21)&lt;0.005,"OK","CHECK"))</f>
        <v>OK</v>
      </c>
    </row>
    <row r="22" customFormat="false" ht="30" hidden="false" customHeight="true" outlineLevel="0" collapsed="false">
      <c r="A22" s="33" t="n">
        <v>14</v>
      </c>
      <c r="B22" s="34" t="s">
        <v>208</v>
      </c>
      <c r="C22" s="36" t="n">
        <f aca="false">0</f>
        <v>0</v>
      </c>
      <c r="D22" s="36" t="n">
        <f aca="false">IF(Headcount!B7&gt;0,0,1)+IF(Capacity!B7&gt;0,0,1)</f>
        <v>0</v>
      </c>
      <c r="E22" s="36" t="n">
        <f aca="false">D22-C22</f>
        <v>0</v>
      </c>
      <c r="F22" s="33" t="str">
        <f aca="false">IF(ISERROR(E22),"CHECK",IF(ABS(E22)&lt;0.005,"OK","CHECK"))</f>
        <v>OK</v>
      </c>
    </row>
    <row r="23" customFormat="false" ht="30" hidden="false" customHeight="true" outlineLevel="0" collapsed="false">
      <c r="A23" s="33" t="n">
        <v>15</v>
      </c>
      <c r="B23" s="34" t="s">
        <v>209</v>
      </c>
      <c r="C23" s="36" t="n">
        <f aca="false">0</f>
        <v>0</v>
      </c>
      <c r="D23" s="36" t="n">
        <f aca="false">SUMPRODUCT(--ISTEXT(Headcount!B7))+SUMPRODUCT(--ISTEXT(Headcount!B11:C16))+SUMPRODUCT(--ISTEXT(Headcount!B21:E26))+SUMPRODUCT(--ISTEXT(Funnel!B7:G12))+SUMPRODUCT(--ISTEXT(Capacity!B5:B8))+SUMPRODUCT(--ISTEXT(Capacity!B12:E12))+SUMPRODUCT(--ISTEXT(Capacity!B16:F21))+SUMPRODUCT(--ISTEXT(Channels!B6:F11))+SUMPRODUCT(--ISTEXT(Channels!H6:H11))+SUMPRODUCT(--ISTEXT(Channels!J6:L11))+SUMPRODUCT(--ISTEXT(Channels!B36:E36))+SUMPRODUCT(--ISTEXT(Channels!B47))</f>
        <v>0</v>
      </c>
      <c r="E23" s="36" t="n">
        <f aca="false">D23-C23</f>
        <v>0</v>
      </c>
      <c r="F23" s="33" t="str">
        <f aca="false">IF(ISERROR(E23),"CHECK",IF(ABS(E23)&lt;0.005,"OK","CHECK"))</f>
        <v>OK</v>
      </c>
    </row>
    <row r="24" customFormat="false" ht="30" hidden="false" customHeight="true" outlineLevel="0" collapsed="false">
      <c r="A24" s="33" t="n">
        <v>16</v>
      </c>
      <c r="B24" s="34" t="s">
        <v>210</v>
      </c>
      <c r="C24" s="36" t="n">
        <f aca="false">0</f>
        <v>0</v>
      </c>
      <c r="D24" s="36" t="n">
        <f aca="false">SUMPRODUCT((Headcount!$F$51:$F$56&gt;0)*(Channels!C6:C11&gt;0)*(((Channels!B6:B11&lt;=0)+(Channels!H6:H11&lt;=0))&gt;0))</f>
        <v>0</v>
      </c>
      <c r="E24" s="36" t="n">
        <f aca="false">D24-C24</f>
        <v>0</v>
      </c>
      <c r="F24" s="33" t="str">
        <f aca="false">IF(ISERROR(E24),"CHECK",IF(ABS(E24)&lt;0.005,"OK","CHECK"))</f>
        <v>OK</v>
      </c>
    </row>
    <row r="25" customFormat="false" ht="30" hidden="false" customHeight="true" outlineLevel="0" collapsed="false">
      <c r="A25" s="33" t="n">
        <v>17</v>
      </c>
      <c r="B25" s="34" t="s">
        <v>211</v>
      </c>
      <c r="C25" s="36" t="n">
        <f aca="false">0</f>
        <v>0</v>
      </c>
      <c r="D25" s="36" t="n">
        <f aca="false">(Capacity!B9&lt;&gt;"Requisitions")*SUMPRODUCT((Headcount!$F$51:$F$56&gt;0)*(((Capacity!C16:C21&lt;=0)+(Capacity!D16:D21&lt;=0)+(Capacity!E16:E21&lt;=0)+(Capacity!F16:F21&lt;=0))&gt;0))</f>
        <v>0</v>
      </c>
      <c r="E25" s="36" t="n">
        <f aca="false">D25-C25</f>
        <v>0</v>
      </c>
      <c r="F25" s="33" t="str">
        <f aca="false">IF(ISERROR(E25),"CHECK",IF(ABS(E25)&lt;0.005,"OK","CHECK"))</f>
        <v>OK</v>
      </c>
    </row>
    <row r="26" customFormat="false" ht="30" hidden="false" customHeight="true" outlineLevel="0" collapsed="false">
      <c r="A26" s="33" t="n">
        <v>18</v>
      </c>
      <c r="B26" s="34" t="s">
        <v>212</v>
      </c>
      <c r="C26" s="36" t="n">
        <f aca="false">0</f>
        <v>0</v>
      </c>
      <c r="D26" s="36" t="n">
        <f aca="false">IF(AND(OR(Capacity!B5&gt;0,SUM(Capacity!B12:E12)&gt;0),Capacity!B8&lt;=0),1,0)</f>
        <v>0</v>
      </c>
      <c r="E26" s="36" t="n">
        <f aca="false">D26-C26</f>
        <v>0</v>
      </c>
      <c r="F26" s="33" t="str">
        <f aca="false">IF(ISERROR(E26),"CHECK",IF(ABS(E26)&lt;0.005,"OK","CHECK"))</f>
        <v>OK</v>
      </c>
    </row>
    <row r="27" customFormat="false" ht="30" hidden="false" customHeight="true" outlineLevel="0" collapsed="false">
      <c r="A27" s="33" t="n">
        <v>19</v>
      </c>
      <c r="B27" s="34" t="s">
        <v>213</v>
      </c>
      <c r="C27" s="36" t="n">
        <f aca="false">0</f>
        <v>0</v>
      </c>
      <c r="D27" s="36" t="n">
        <f aca="false">SUMPRODUCT((Headcount!$F$51:$F$56&gt;0)*(Channels!D6:D11&gt;0)*(Channels!J6:J11=""))+SUMPRODUCT((Headcount!$F$51:$F$56&gt;0)*(Channels!E6:E11&gt;0)*(Channels!K6:K11=""))+SUMPRODUCT((Headcount!$F$51:$F$56&gt;0)*(Channels!F6:F11&gt;0)*(Channels!L6:L11=""))</f>
        <v>0</v>
      </c>
      <c r="E27" s="36" t="n">
        <f aca="false">D27-C27</f>
        <v>0</v>
      </c>
      <c r="F27" s="33" t="str">
        <f aca="false">IF(ISERROR(E27),"CHECK",IF(ABS(E27)&lt;0.005,"OK","CHECK"))</f>
        <v>OK</v>
      </c>
    </row>
    <row r="29" customFormat="false" ht="19.5" hidden="false" customHeight="true" outlineLevel="0" collapsed="false">
      <c r="A29" s="37" t="s">
        <v>58</v>
      </c>
      <c r="B29" s="38"/>
      <c r="C29" s="38"/>
      <c r="D29" s="38"/>
      <c r="E29" s="38"/>
      <c r="F29" s="38"/>
    </row>
    <row r="30" customFormat="false" ht="19.5" hidden="false" customHeight="true" outlineLevel="0" collapsed="false">
      <c r="A30" s="15" t="s">
        <v>190</v>
      </c>
      <c r="B30" s="15" t="s">
        <v>214</v>
      </c>
      <c r="C30" s="15" t="s">
        <v>192</v>
      </c>
      <c r="D30" s="15" t="s">
        <v>193</v>
      </c>
      <c r="E30" s="15" t="s">
        <v>194</v>
      </c>
      <c r="F30" s="15" t="s">
        <v>147</v>
      </c>
    </row>
    <row r="31" customFormat="false" ht="19.5" hidden="false" customHeight="true" outlineLevel="0" collapsed="false">
      <c r="A31" s="33" t="n">
        <v>1</v>
      </c>
      <c r="B31" s="34" t="s">
        <v>215</v>
      </c>
      <c r="C31" s="36" t="n">
        <f aca="false">0</f>
        <v>0</v>
      </c>
      <c r="D31" s="36" t="n">
        <f aca="false">COUNTIF(Capacity!B62:E62,"Short")+SUMPRODUCT(--ISERROR(Capacity!B62:E62))</f>
        <v>1</v>
      </c>
      <c r="E31" s="36" t="n">
        <f aca="false">D31-C31</f>
        <v>1</v>
      </c>
      <c r="F31" s="33" t="str">
        <f aca="false">IF(ISERROR(E31),"REVIEW",IF(E31=0,"OK","REVIEW"))</f>
        <v>REVIEW</v>
      </c>
    </row>
    <row r="32" customFormat="false" ht="19.5" hidden="false" customHeight="true" outlineLevel="0" collapsed="false">
      <c r="A32" s="33" t="n">
        <v>2</v>
      </c>
      <c r="B32" s="34" t="s">
        <v>216</v>
      </c>
      <c r="C32" s="36" t="n">
        <f aca="false">0</f>
        <v>0</v>
      </c>
      <c r="D32" s="36" t="n">
        <f aca="false">IF(AND(Channels!B47&gt;0,Channels!B51&lt;0),1,0)</f>
        <v>0</v>
      </c>
      <c r="E32" s="36" t="n">
        <f aca="false">D32-C32</f>
        <v>0</v>
      </c>
      <c r="F32" s="33" t="str">
        <f aca="false">IF(ISERROR(E32),"REVIEW",IF(E32=0,"OK","REVIEW"))</f>
        <v>OK</v>
      </c>
    </row>
    <row r="33" customFormat="false" ht="19.5" hidden="false" customHeight="true" outlineLevel="0" collapsed="false">
      <c r="A33" s="33" t="n">
        <v>3</v>
      </c>
      <c r="B33" s="34" t="s">
        <v>217</v>
      </c>
      <c r="C33" s="36" t="n">
        <f aca="false">1</f>
        <v>1</v>
      </c>
      <c r="D33" s="36" t="n">
        <f aca="false">IF(Channels!B47&gt;0,1,0)</f>
        <v>1</v>
      </c>
      <c r="E33" s="36" t="n">
        <f aca="false">D33-C33</f>
        <v>0</v>
      </c>
      <c r="F33" s="33" t="str">
        <f aca="false">IF(ISERROR(E33),"REVIEW",IF(E33=0,"OK","REVIEW"))</f>
        <v>OK</v>
      </c>
    </row>
  </sheetData>
  <mergeCells count="2">
    <mergeCell ref="C4:E4"/>
    <mergeCell ref="C5:E5"/>
  </mergeCells>
  <conditionalFormatting sqref="F9:F33">
    <cfRule type="cellIs" priority="2" operator="equal" aboveAverage="0" equalAverage="0" bottom="0" percent="0" rank="0" text="" dxfId="0">
      <formula>"OK"</formula>
    </cfRule>
    <cfRule type="cellIs" priority="3" operator="equal" aboveAverage="0" equalAverage="0" bottom="0" percent="0" rank="0" text="" dxfId="1">
      <formula>"CHECK"</formula>
    </cfRule>
    <cfRule type="cellIs" priority="4" operator="equal" aboveAverage="0" equalAverage="0" bottom="0" percent="0" rank="0" text="" dxfId="2">
      <formula>"REVIEW"</formula>
    </cfRule>
    <cfRule type="cellIs" priority="5" operator="equal" aboveAverage="0" equalAverage="0" bottom="0" percent="0" rank="0" text="" dxfId="2">
      <formula>"Short"</formula>
    </cfRule>
    <cfRule type="cellIs" priority="6" operator="equal" aboveAverage="0" equalAverage="0" bottom="0" percent="0" rank="0" text="" dxfId="2">
      <formula>"Over budget"</formula>
    </cfRule>
    <cfRule type="cellIs" priority="7" operator="equal" aboveAverage="0" equalAverage="0" bottom="0" percent="0" rank="0" text="" dxfId="0">
      <formula>"Within budget"</formula>
    </cfRule>
  </conditionalFormatting>
  <conditionalFormatting sqref="C4">
    <cfRule type="expression" priority="8" aboveAverage="0" equalAverage="0" bottom="0" percent="0" rank="0" text="" dxfId="0">
      <formula>$C$4="ALL CHECKS PASS"</formula>
    </cfRule>
    <cfRule type="expression" priority="9" aboveAverage="0" equalAverage="0" bottom="0" percent="0" rank="0" text="" dxfId="1">
      <formula>$C$4&lt;&gt;"ALL CHECKS PASS"</formula>
    </cfRule>
  </conditionalFormatting>
  <conditionalFormatting sqref="C5">
    <cfRule type="expression" priority="10" aboveAverage="0" equalAverage="0" bottom="0" percent="0" rank="0" text="" dxfId="0">
      <formula>$C$5="No planning flags"</formula>
    </cfRule>
    <cfRule type="expression" priority="11" aboveAverage="0" equalAverage="0" bottom="0" percent="0" rank="0" text="" dxfId="2">
      <formula>$C$5&lt;&gt;"No planning flags"</formula>
    </cfRule>
  </conditionalFormatting>
  <printOptions headings="false" gridLines="false" gridLinesSet="true" horizontalCentered="true" verticalCentered="false"/>
  <pageMargins left="0.5" right="0.5" top="0.6" bottom="0.8" header="0.511811023622047" footer="0.3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2026-10-28T05:30:54Z</dcterms:created>
  <dc:creator>HR Riant</dc:creator>
  <dc:description/>
  <dc:language>en-US</dc:language>
  <cp:lastModifiedBy/>
  <dcterms:modified xsi:type="dcterms:W3CDTF">2026-10-28T05:30:55Z</dcterms:modified>
  <cp:revision>0</cp:revision>
  <dc:subject>Template from HR Riant, hrriant.com</dc:subject>
  <dc:title>Recruiting Plan 2027</dc:title>
</cp:coreProperties>
</file>

<file path=docProps/custom.xml><?xml version="1.0" encoding="utf-8"?>
<Properties xmlns="http://schemas.openxmlformats.org/officeDocument/2006/custom-properties" xmlns:vt="http://schemas.openxmlformats.org/officeDocument/2006/docPropsVTypes"/>
</file>